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10" documentId="8_{2F5F4ACE-E5AE-4792-B4BE-75D55B6798E8}" xr6:coauthVersionLast="47" xr6:coauthVersionMax="47" xr10:uidLastSave="{26DA2C1B-75B2-4269-8313-A37EE0D98201}"/>
  <workbookProtection workbookAlgorithmName="SHA-512" workbookHashValue="6MfC2V3cVonfveB95UC9bEZxjH/reCeTAbZ9KrhhgDSjJBTnb3BLAYyZ720H0EZemChaEAsDiZQRjX8W4DMQhw==" workbookSaltValue="/x6S3c2PJcvPp65q2AWCNg==" workbookSpinCount="100000" lockStructure="1"/>
  <bookViews>
    <workbookView xWindow="-120" yWindow="-120" windowWidth="29040" windowHeight="15720" tabRatio="840" xr2:uid="{00000000-000D-0000-FFFF-FFFF00000000}"/>
  </bookViews>
  <sheets>
    <sheet name="Verklaring dispensatie" sheetId="1" r:id="rId1"/>
    <sheet name="DATA formulier" sheetId="2" state="hidden" r:id="rId2"/>
    <sheet name="Calculatie" sheetId="4" state="hidden" r:id="rId3"/>
    <sheet name="--- SCHALEN M ---" sheetId="6" state="hidden" r:id="rId4"/>
    <sheet name="Lengte M - lijnstukken" sheetId="7" state="hidden" r:id="rId5"/>
    <sheet name="Lengte M norm" sheetId="8" state="hidden" r:id="rId6"/>
    <sheet name="BMI M - lijnstukken" sheetId="9" state="hidden" r:id="rId7"/>
    <sheet name="BMI M norm" sheetId="10" state="hidden" r:id="rId8"/>
    <sheet name="--- SCHALEN V ---" sheetId="11" state="hidden" r:id="rId9"/>
    <sheet name="Lengte V - lijnstukken" sheetId="12" state="hidden" r:id="rId10"/>
    <sheet name="Lengte V norm" sheetId="13" state="hidden" r:id="rId11"/>
    <sheet name="BMI V - lijnstukken" sheetId="14" state="hidden" r:id="rId12"/>
    <sheet name="BMI V norm" sheetId="15" state="hidden" r:id="rId13"/>
  </sheets>
  <definedNames>
    <definedName name="_xlnm._FilterDatabase" localSheetId="2" hidden="1">Calculatie!$A$2:$BY$4</definedName>
    <definedName name="_xlnm.Print_Area" localSheetId="0">'Verklaring dispensatie'!$A$1:$AJ$55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6" i="2" l="1"/>
  <c r="K4" i="2"/>
  <c r="K2" i="2"/>
  <c r="K3" i="2" s="1"/>
  <c r="K37" i="2" l="1"/>
  <c r="B1" i="2"/>
  <c r="K6" i="2" s="1"/>
  <c r="L1" i="2" s="1"/>
  <c r="I46" i="1"/>
  <c r="B4" i="4" s="1"/>
  <c r="BO4" i="4" s="1"/>
  <c r="I47" i="1"/>
  <c r="B3" i="2" s="1"/>
  <c r="F21" i="15"/>
  <c r="F20" i="15"/>
  <c r="F19" i="15"/>
  <c r="F17" i="14" s="1"/>
  <c r="F18" i="15"/>
  <c r="F17" i="15"/>
  <c r="F16" i="15"/>
  <c r="F15" i="15"/>
  <c r="F14" i="15"/>
  <c r="F13" i="15"/>
  <c r="F12" i="15"/>
  <c r="F11" i="14" s="1"/>
  <c r="G11" i="14" s="1"/>
  <c r="F11" i="15"/>
  <c r="F10" i="15"/>
  <c r="F9" i="15"/>
  <c r="F8" i="15"/>
  <c r="F7" i="15"/>
  <c r="F6" i="15"/>
  <c r="F5" i="15"/>
  <c r="F4" i="15"/>
  <c r="F3" i="15"/>
  <c r="J19" i="14"/>
  <c r="K19" i="14" s="1"/>
  <c r="H19" i="14"/>
  <c r="I19" i="14" s="1"/>
  <c r="D19" i="14"/>
  <c r="E19" i="14" s="1"/>
  <c r="B19" i="14"/>
  <c r="C19" i="14" s="1"/>
  <c r="J18" i="14"/>
  <c r="K18" i="14" s="1"/>
  <c r="H18" i="14"/>
  <c r="I18" i="14" s="1"/>
  <c r="D18" i="14"/>
  <c r="E18" i="14" s="1"/>
  <c r="B18" i="14"/>
  <c r="C18" i="14" s="1"/>
  <c r="K17" i="14"/>
  <c r="J17" i="14"/>
  <c r="H17" i="14"/>
  <c r="I17" i="14" s="1"/>
  <c r="D17" i="14"/>
  <c r="E17" i="14" s="1"/>
  <c r="B17" i="14"/>
  <c r="C17" i="14" s="1"/>
  <c r="J16" i="14"/>
  <c r="K16" i="14" s="1"/>
  <c r="H16" i="14"/>
  <c r="I16" i="14" s="1"/>
  <c r="D16" i="14"/>
  <c r="E16" i="14" s="1"/>
  <c r="B16" i="14"/>
  <c r="C16" i="14" s="1"/>
  <c r="J15" i="14"/>
  <c r="K15" i="14" s="1"/>
  <c r="H15" i="14"/>
  <c r="I15" i="14" s="1"/>
  <c r="D15" i="14"/>
  <c r="E15" i="14" s="1"/>
  <c r="B15" i="14"/>
  <c r="C15" i="14" s="1"/>
  <c r="J14" i="14"/>
  <c r="K14" i="14" s="1"/>
  <c r="H14" i="14"/>
  <c r="I14" i="14" s="1"/>
  <c r="D14" i="14"/>
  <c r="E14" i="14" s="1"/>
  <c r="B14" i="14"/>
  <c r="C14" i="14" s="1"/>
  <c r="J13" i="14"/>
  <c r="K13" i="14" s="1"/>
  <c r="H13" i="14"/>
  <c r="I13" i="14" s="1"/>
  <c r="D13" i="14"/>
  <c r="E13" i="14" s="1"/>
  <c r="B13" i="14"/>
  <c r="C13" i="14" s="1"/>
  <c r="J12" i="14"/>
  <c r="K12" i="14" s="1"/>
  <c r="H12" i="14"/>
  <c r="I12" i="14" s="1"/>
  <c r="D12" i="14"/>
  <c r="E12" i="14" s="1"/>
  <c r="B12" i="14"/>
  <c r="C12" i="14" s="1"/>
  <c r="J11" i="14"/>
  <c r="K11" i="14" s="1"/>
  <c r="H11" i="14"/>
  <c r="I11" i="14" s="1"/>
  <c r="D11" i="14"/>
  <c r="E11" i="14" s="1"/>
  <c r="B11" i="14"/>
  <c r="C11" i="14" s="1"/>
  <c r="J10" i="14"/>
  <c r="K10" i="14" s="1"/>
  <c r="H10" i="14"/>
  <c r="I10" i="14" s="1"/>
  <c r="D10" i="14"/>
  <c r="E10" i="14" s="1"/>
  <c r="B10" i="14"/>
  <c r="C10" i="14" s="1"/>
  <c r="J9" i="14"/>
  <c r="K9" i="14" s="1"/>
  <c r="H9" i="14"/>
  <c r="I9" i="14" s="1"/>
  <c r="E9" i="14"/>
  <c r="D9" i="14"/>
  <c r="B9" i="14"/>
  <c r="C9" i="14" s="1"/>
  <c r="J8" i="14"/>
  <c r="K8" i="14" s="1"/>
  <c r="H8" i="14"/>
  <c r="I8" i="14" s="1"/>
  <c r="F8" i="14"/>
  <c r="G8" i="14" s="1"/>
  <c r="D8" i="14"/>
  <c r="E8" i="14" s="1"/>
  <c r="C8" i="14"/>
  <c r="B8" i="14"/>
  <c r="J7" i="14"/>
  <c r="K7" i="14" s="1"/>
  <c r="H7" i="14"/>
  <c r="I7" i="14" s="1"/>
  <c r="E7" i="14"/>
  <c r="D7" i="14"/>
  <c r="B7" i="14"/>
  <c r="C7" i="14" s="1"/>
  <c r="J6" i="14"/>
  <c r="K6" i="14" s="1"/>
  <c r="H6" i="14"/>
  <c r="I6" i="14" s="1"/>
  <c r="D6" i="14"/>
  <c r="E6" i="14" s="1"/>
  <c r="B6" i="14"/>
  <c r="C6" i="14" s="1"/>
  <c r="J5" i="14"/>
  <c r="K5" i="14" s="1"/>
  <c r="H5" i="14"/>
  <c r="I5" i="14" s="1"/>
  <c r="D5" i="14"/>
  <c r="E5" i="14" s="1"/>
  <c r="B5" i="14"/>
  <c r="C5" i="14" s="1"/>
  <c r="J4" i="14"/>
  <c r="K4" i="14" s="1"/>
  <c r="H4" i="14"/>
  <c r="I4" i="14" s="1"/>
  <c r="D4" i="14"/>
  <c r="E4" i="14" s="1"/>
  <c r="B4" i="14"/>
  <c r="C4" i="14" s="1"/>
  <c r="J3" i="14"/>
  <c r="K3" i="14" s="1"/>
  <c r="I3" i="14"/>
  <c r="H3" i="14"/>
  <c r="D3" i="14"/>
  <c r="E3" i="14" s="1"/>
  <c r="B3" i="14"/>
  <c r="C3" i="14" s="1"/>
  <c r="J2" i="14"/>
  <c r="K2" i="14" s="1"/>
  <c r="H2" i="14"/>
  <c r="I2" i="14" s="1"/>
  <c r="D2" i="14"/>
  <c r="E2" i="14" s="1"/>
  <c r="B2" i="14"/>
  <c r="C2" i="14" s="1"/>
  <c r="O23" i="13"/>
  <c r="M23" i="13"/>
  <c r="K23" i="13"/>
  <c r="I23" i="13"/>
  <c r="G23" i="13"/>
  <c r="E23" i="13"/>
  <c r="C23" i="13"/>
  <c r="O22" i="13"/>
  <c r="M22" i="13"/>
  <c r="K22" i="13"/>
  <c r="I22" i="13"/>
  <c r="G22" i="13"/>
  <c r="E22" i="13"/>
  <c r="C22" i="13"/>
  <c r="O21" i="13"/>
  <c r="M21" i="13"/>
  <c r="K21" i="13"/>
  <c r="I21" i="13"/>
  <c r="G21" i="13"/>
  <c r="E21" i="13"/>
  <c r="C21" i="13"/>
  <c r="O20" i="13"/>
  <c r="M20" i="13"/>
  <c r="K20" i="13"/>
  <c r="I20" i="13"/>
  <c r="G20" i="13"/>
  <c r="E20" i="13"/>
  <c r="C20" i="13"/>
  <c r="O19" i="13"/>
  <c r="M19" i="13"/>
  <c r="K19" i="13"/>
  <c r="I19" i="13"/>
  <c r="G19" i="13"/>
  <c r="E19" i="13"/>
  <c r="C19" i="13"/>
  <c r="O18" i="13"/>
  <c r="M18" i="13"/>
  <c r="K18" i="13"/>
  <c r="I18" i="13"/>
  <c r="G18" i="13"/>
  <c r="E18" i="13"/>
  <c r="C18" i="13"/>
  <c r="O17" i="13"/>
  <c r="M17" i="13"/>
  <c r="K17" i="13"/>
  <c r="I17" i="13"/>
  <c r="G17" i="13"/>
  <c r="E17" i="13"/>
  <c r="C17" i="13"/>
  <c r="O16" i="13"/>
  <c r="M16" i="13"/>
  <c r="K16" i="13"/>
  <c r="I16" i="13"/>
  <c r="G16" i="13"/>
  <c r="E16" i="13"/>
  <c r="C16" i="13"/>
  <c r="O15" i="13"/>
  <c r="M15" i="13"/>
  <c r="K15" i="13"/>
  <c r="I15" i="13"/>
  <c r="G15" i="13"/>
  <c r="E15" i="13"/>
  <c r="C15" i="13"/>
  <c r="O14" i="13"/>
  <c r="M14" i="13"/>
  <c r="K14" i="13"/>
  <c r="I14" i="13"/>
  <c r="G14" i="13"/>
  <c r="E14" i="13"/>
  <c r="C14" i="13"/>
  <c r="O13" i="13"/>
  <c r="M13" i="13"/>
  <c r="K13" i="13"/>
  <c r="I13" i="13"/>
  <c r="G13" i="13"/>
  <c r="E13" i="13"/>
  <c r="C13" i="13"/>
  <c r="O12" i="13"/>
  <c r="M12" i="13"/>
  <c r="K12" i="13"/>
  <c r="I12" i="13"/>
  <c r="G12" i="13"/>
  <c r="E12" i="13"/>
  <c r="C12" i="13"/>
  <c r="O11" i="13"/>
  <c r="M11" i="13"/>
  <c r="K11" i="13"/>
  <c r="I11" i="13"/>
  <c r="G11" i="13"/>
  <c r="E11" i="13"/>
  <c r="C11" i="13"/>
  <c r="O10" i="13"/>
  <c r="M10" i="13"/>
  <c r="K10" i="13"/>
  <c r="I10" i="13"/>
  <c r="G10" i="13"/>
  <c r="E10" i="13"/>
  <c r="C10" i="13"/>
  <c r="O9" i="13"/>
  <c r="M9" i="13"/>
  <c r="K9" i="13"/>
  <c r="I9" i="13"/>
  <c r="G9" i="13"/>
  <c r="E9" i="13"/>
  <c r="C9" i="13"/>
  <c r="O8" i="13"/>
  <c r="M8" i="13"/>
  <c r="K8" i="13"/>
  <c r="I8" i="13"/>
  <c r="G8" i="13"/>
  <c r="E8" i="13"/>
  <c r="C8" i="13"/>
  <c r="O7" i="13"/>
  <c r="M7" i="13"/>
  <c r="K7" i="13"/>
  <c r="I7" i="13"/>
  <c r="G7" i="13"/>
  <c r="E7" i="13"/>
  <c r="C7" i="13"/>
  <c r="O6" i="13"/>
  <c r="M6" i="13"/>
  <c r="K6" i="13"/>
  <c r="I6" i="13"/>
  <c r="G6" i="13"/>
  <c r="E6" i="13"/>
  <c r="C6" i="13"/>
  <c r="O5" i="13"/>
  <c r="M5" i="13"/>
  <c r="K5" i="13"/>
  <c r="I5" i="13"/>
  <c r="G5" i="13"/>
  <c r="E5" i="13"/>
  <c r="C5" i="13"/>
  <c r="O4" i="13"/>
  <c r="M4" i="13"/>
  <c r="K4" i="13"/>
  <c r="I4" i="13"/>
  <c r="G4" i="13"/>
  <c r="E4" i="13"/>
  <c r="C4" i="13"/>
  <c r="O3" i="13"/>
  <c r="M3" i="13"/>
  <c r="K3" i="13"/>
  <c r="I3" i="13"/>
  <c r="G3" i="13"/>
  <c r="E3" i="13"/>
  <c r="C3" i="13"/>
  <c r="P21" i="12"/>
  <c r="Q21" i="12" s="1"/>
  <c r="N21" i="12"/>
  <c r="O21" i="12" s="1"/>
  <c r="L21" i="12"/>
  <c r="M21" i="12" s="1"/>
  <c r="J21" i="12"/>
  <c r="K21" i="12" s="1"/>
  <c r="H21" i="12"/>
  <c r="I21" i="12" s="1"/>
  <c r="F21" i="12"/>
  <c r="G21" i="12" s="1"/>
  <c r="D21" i="12"/>
  <c r="E21" i="12" s="1"/>
  <c r="B21" i="12"/>
  <c r="C21" i="12" s="1"/>
  <c r="P20" i="12"/>
  <c r="Q20" i="12" s="1"/>
  <c r="N20" i="12"/>
  <c r="O20" i="12" s="1"/>
  <c r="L20" i="12"/>
  <c r="M20" i="12" s="1"/>
  <c r="J20" i="12"/>
  <c r="K20" i="12" s="1"/>
  <c r="H20" i="12"/>
  <c r="I20" i="12" s="1"/>
  <c r="F20" i="12"/>
  <c r="G20" i="12" s="1"/>
  <c r="D20" i="12"/>
  <c r="E20" i="12" s="1"/>
  <c r="B20" i="12"/>
  <c r="C20" i="12" s="1"/>
  <c r="P19" i="12"/>
  <c r="Q19" i="12" s="1"/>
  <c r="N19" i="12"/>
  <c r="O19" i="12" s="1"/>
  <c r="L19" i="12"/>
  <c r="M19" i="12" s="1"/>
  <c r="J19" i="12"/>
  <c r="K19" i="12" s="1"/>
  <c r="H19" i="12"/>
  <c r="I19" i="12" s="1"/>
  <c r="F19" i="12"/>
  <c r="G19" i="12" s="1"/>
  <c r="D19" i="12"/>
  <c r="E19" i="12" s="1"/>
  <c r="B19" i="12"/>
  <c r="C19" i="12" s="1"/>
  <c r="P18" i="12"/>
  <c r="Q18" i="12" s="1"/>
  <c r="N18" i="12"/>
  <c r="O18" i="12" s="1"/>
  <c r="L18" i="12"/>
  <c r="M18" i="12" s="1"/>
  <c r="J18" i="12"/>
  <c r="K18" i="12" s="1"/>
  <c r="H18" i="12"/>
  <c r="I18" i="12" s="1"/>
  <c r="F18" i="12"/>
  <c r="G18" i="12" s="1"/>
  <c r="D18" i="12"/>
  <c r="E18" i="12" s="1"/>
  <c r="B18" i="12"/>
  <c r="C18" i="12" s="1"/>
  <c r="Q17" i="12"/>
  <c r="P17" i="12"/>
  <c r="N17" i="12"/>
  <c r="O17" i="12" s="1"/>
  <c r="L17" i="12"/>
  <c r="M17" i="12" s="1"/>
  <c r="J17" i="12"/>
  <c r="K17" i="12" s="1"/>
  <c r="H17" i="12"/>
  <c r="I17" i="12" s="1"/>
  <c r="F17" i="12"/>
  <c r="G17" i="12" s="1"/>
  <c r="D17" i="12"/>
  <c r="E17" i="12" s="1"/>
  <c r="B17" i="12"/>
  <c r="C17" i="12" s="1"/>
  <c r="P16" i="12"/>
  <c r="Q16" i="12" s="1"/>
  <c r="N16" i="12"/>
  <c r="O16" i="12" s="1"/>
  <c r="L16" i="12"/>
  <c r="M16" i="12" s="1"/>
  <c r="J16" i="12"/>
  <c r="K16" i="12" s="1"/>
  <c r="H16" i="12"/>
  <c r="I16" i="12" s="1"/>
  <c r="F16" i="12"/>
  <c r="G16" i="12" s="1"/>
  <c r="D16" i="12"/>
  <c r="E16" i="12" s="1"/>
  <c r="B16" i="12"/>
  <c r="C16" i="12" s="1"/>
  <c r="P15" i="12"/>
  <c r="Q15" i="12" s="1"/>
  <c r="N15" i="12"/>
  <c r="O15" i="12" s="1"/>
  <c r="L15" i="12"/>
  <c r="M15" i="12" s="1"/>
  <c r="J15" i="12"/>
  <c r="K15" i="12" s="1"/>
  <c r="H15" i="12"/>
  <c r="I15" i="12" s="1"/>
  <c r="F15" i="12"/>
  <c r="G15" i="12" s="1"/>
  <c r="D15" i="12"/>
  <c r="E15" i="12" s="1"/>
  <c r="B15" i="12"/>
  <c r="C15" i="12" s="1"/>
  <c r="P14" i="12"/>
  <c r="Q14" i="12" s="1"/>
  <c r="N14" i="12"/>
  <c r="O14" i="12" s="1"/>
  <c r="M14" i="12"/>
  <c r="L14" i="12"/>
  <c r="J14" i="12"/>
  <c r="K14" i="12" s="1"/>
  <c r="H14" i="12"/>
  <c r="I14" i="12" s="1"/>
  <c r="F14" i="12"/>
  <c r="G14" i="12" s="1"/>
  <c r="D14" i="12"/>
  <c r="E14" i="12" s="1"/>
  <c r="B14" i="12"/>
  <c r="C14" i="12" s="1"/>
  <c r="P13" i="12"/>
  <c r="Q13" i="12" s="1"/>
  <c r="N13" i="12"/>
  <c r="O13" i="12" s="1"/>
  <c r="L13" i="12"/>
  <c r="M13" i="12" s="1"/>
  <c r="J13" i="12"/>
  <c r="K13" i="12" s="1"/>
  <c r="H13" i="12"/>
  <c r="I13" i="12" s="1"/>
  <c r="F13" i="12"/>
  <c r="G13" i="12" s="1"/>
  <c r="D13" i="12"/>
  <c r="E13" i="12" s="1"/>
  <c r="B13" i="12"/>
  <c r="C13" i="12" s="1"/>
  <c r="P12" i="12"/>
  <c r="Q12" i="12" s="1"/>
  <c r="N12" i="12"/>
  <c r="O12" i="12" s="1"/>
  <c r="L12" i="12"/>
  <c r="M12" i="12" s="1"/>
  <c r="J12" i="12"/>
  <c r="K12" i="12" s="1"/>
  <c r="H12" i="12"/>
  <c r="I12" i="12" s="1"/>
  <c r="F12" i="12"/>
  <c r="G12" i="12" s="1"/>
  <c r="D12" i="12"/>
  <c r="E12" i="12" s="1"/>
  <c r="B12" i="12"/>
  <c r="C12" i="12" s="1"/>
  <c r="P11" i="12"/>
  <c r="Q11" i="12" s="1"/>
  <c r="N11" i="12"/>
  <c r="O11" i="12" s="1"/>
  <c r="L11" i="12"/>
  <c r="M11" i="12" s="1"/>
  <c r="J11" i="12"/>
  <c r="K11" i="12" s="1"/>
  <c r="H11" i="12"/>
  <c r="I11" i="12" s="1"/>
  <c r="F11" i="12"/>
  <c r="G11" i="12" s="1"/>
  <c r="D11" i="12"/>
  <c r="E11" i="12" s="1"/>
  <c r="B11" i="12"/>
  <c r="C11" i="12" s="1"/>
  <c r="P10" i="12"/>
  <c r="Q10" i="12" s="1"/>
  <c r="N10" i="12"/>
  <c r="O10" i="12" s="1"/>
  <c r="L10" i="12"/>
  <c r="M10" i="12" s="1"/>
  <c r="J10" i="12"/>
  <c r="K10" i="12" s="1"/>
  <c r="H10" i="12"/>
  <c r="I10" i="12" s="1"/>
  <c r="F10" i="12"/>
  <c r="G10" i="12" s="1"/>
  <c r="D10" i="12"/>
  <c r="E10" i="12" s="1"/>
  <c r="B10" i="12"/>
  <c r="C10" i="12" s="1"/>
  <c r="Q9" i="12"/>
  <c r="P9" i="12"/>
  <c r="N9" i="12"/>
  <c r="O9" i="12" s="1"/>
  <c r="L9" i="12"/>
  <c r="M9" i="12" s="1"/>
  <c r="J9" i="12"/>
  <c r="K9" i="12" s="1"/>
  <c r="H9" i="12"/>
  <c r="I9" i="12" s="1"/>
  <c r="F9" i="12"/>
  <c r="G9" i="12" s="1"/>
  <c r="D9" i="12"/>
  <c r="E9" i="12" s="1"/>
  <c r="B9" i="12"/>
  <c r="C9" i="12" s="1"/>
  <c r="P8" i="12"/>
  <c r="Q8" i="12" s="1"/>
  <c r="N8" i="12"/>
  <c r="O8" i="12" s="1"/>
  <c r="L8" i="12"/>
  <c r="M8" i="12" s="1"/>
  <c r="J8" i="12"/>
  <c r="K8" i="12" s="1"/>
  <c r="H8" i="12"/>
  <c r="I8" i="12" s="1"/>
  <c r="F8" i="12"/>
  <c r="G8" i="12" s="1"/>
  <c r="D8" i="12"/>
  <c r="E8" i="12" s="1"/>
  <c r="B8" i="12"/>
  <c r="C8" i="12" s="1"/>
  <c r="P7" i="12"/>
  <c r="Q7" i="12" s="1"/>
  <c r="N7" i="12"/>
  <c r="O7" i="12" s="1"/>
  <c r="L7" i="12"/>
  <c r="M7" i="12" s="1"/>
  <c r="J7" i="12"/>
  <c r="K7" i="12" s="1"/>
  <c r="H7" i="12"/>
  <c r="I7" i="12" s="1"/>
  <c r="F7" i="12"/>
  <c r="G7" i="12" s="1"/>
  <c r="D7" i="12"/>
  <c r="E7" i="12" s="1"/>
  <c r="B7" i="12"/>
  <c r="C7" i="12" s="1"/>
  <c r="P6" i="12"/>
  <c r="Q6" i="12" s="1"/>
  <c r="N6" i="12"/>
  <c r="O6" i="12" s="1"/>
  <c r="M6" i="12"/>
  <c r="L6" i="12"/>
  <c r="J6" i="12"/>
  <c r="K6" i="12" s="1"/>
  <c r="H6" i="12"/>
  <c r="I6" i="12" s="1"/>
  <c r="F6" i="12"/>
  <c r="G6" i="12" s="1"/>
  <c r="D6" i="12"/>
  <c r="E6" i="12" s="1"/>
  <c r="B6" i="12"/>
  <c r="C6" i="12" s="1"/>
  <c r="P5" i="12"/>
  <c r="Q5" i="12" s="1"/>
  <c r="N5" i="12"/>
  <c r="O5" i="12" s="1"/>
  <c r="L5" i="12"/>
  <c r="M5" i="12" s="1"/>
  <c r="J5" i="12"/>
  <c r="K5" i="12" s="1"/>
  <c r="H5" i="12"/>
  <c r="I5" i="12" s="1"/>
  <c r="F5" i="12"/>
  <c r="G5" i="12" s="1"/>
  <c r="D5" i="12"/>
  <c r="E5" i="12" s="1"/>
  <c r="B5" i="12"/>
  <c r="C5" i="12" s="1"/>
  <c r="P4" i="12"/>
  <c r="Q4" i="12" s="1"/>
  <c r="N4" i="12"/>
  <c r="O4" i="12" s="1"/>
  <c r="L4" i="12"/>
  <c r="M4" i="12" s="1"/>
  <c r="J4" i="12"/>
  <c r="K4" i="12" s="1"/>
  <c r="H4" i="12"/>
  <c r="I4" i="12" s="1"/>
  <c r="F4" i="12"/>
  <c r="G4" i="12" s="1"/>
  <c r="D4" i="12"/>
  <c r="E4" i="12" s="1"/>
  <c r="B4" i="12"/>
  <c r="C4" i="12" s="1"/>
  <c r="P3" i="12"/>
  <c r="Q3" i="12" s="1"/>
  <c r="N3" i="12"/>
  <c r="O3" i="12" s="1"/>
  <c r="L3" i="12"/>
  <c r="M3" i="12" s="1"/>
  <c r="J3" i="12"/>
  <c r="K3" i="12" s="1"/>
  <c r="H3" i="12"/>
  <c r="I3" i="12" s="1"/>
  <c r="F3" i="12"/>
  <c r="G3" i="12" s="1"/>
  <c r="D3" i="12"/>
  <c r="E3" i="12" s="1"/>
  <c r="B3" i="12"/>
  <c r="C3" i="12" s="1"/>
  <c r="P2" i="12"/>
  <c r="Q2" i="12" s="1"/>
  <c r="N2" i="12"/>
  <c r="O2" i="12" s="1"/>
  <c r="L2" i="12"/>
  <c r="M2" i="12" s="1"/>
  <c r="J2" i="12"/>
  <c r="K2" i="12" s="1"/>
  <c r="H2" i="12"/>
  <c r="I2" i="12" s="1"/>
  <c r="F2" i="12"/>
  <c r="G2" i="12" s="1"/>
  <c r="D2" i="12"/>
  <c r="E2" i="12" s="1"/>
  <c r="B2" i="12"/>
  <c r="C2" i="12" s="1"/>
  <c r="K19" i="9"/>
  <c r="J19" i="9"/>
  <c r="H19" i="9"/>
  <c r="I19" i="9" s="1"/>
  <c r="F19" i="9"/>
  <c r="G19" i="9" s="1"/>
  <c r="D19" i="9"/>
  <c r="E19" i="9" s="1"/>
  <c r="B19" i="9"/>
  <c r="C19" i="9" s="1"/>
  <c r="J18" i="9"/>
  <c r="K18" i="9" s="1"/>
  <c r="H18" i="9"/>
  <c r="I18" i="9" s="1"/>
  <c r="F18" i="9"/>
  <c r="G18" i="9" s="1"/>
  <c r="D18" i="9"/>
  <c r="E18" i="9" s="1"/>
  <c r="B18" i="9"/>
  <c r="C18" i="9" s="1"/>
  <c r="K17" i="9"/>
  <c r="J17" i="9"/>
  <c r="H17" i="9"/>
  <c r="I17" i="9" s="1"/>
  <c r="F17" i="9"/>
  <c r="G17" i="9" s="1"/>
  <c r="D17" i="9"/>
  <c r="E17" i="9" s="1"/>
  <c r="B17" i="9"/>
  <c r="C17" i="9" s="1"/>
  <c r="J16" i="9"/>
  <c r="K16" i="9" s="1"/>
  <c r="H16" i="9"/>
  <c r="I16" i="9" s="1"/>
  <c r="F16" i="9"/>
  <c r="G16" i="9" s="1"/>
  <c r="D16" i="9"/>
  <c r="E16" i="9" s="1"/>
  <c r="B16" i="9"/>
  <c r="C16" i="9" s="1"/>
  <c r="J15" i="9"/>
  <c r="K15" i="9" s="1"/>
  <c r="H15" i="9"/>
  <c r="I15" i="9" s="1"/>
  <c r="F15" i="9"/>
  <c r="G15" i="9" s="1"/>
  <c r="D15" i="9"/>
  <c r="E15" i="9" s="1"/>
  <c r="B15" i="9"/>
  <c r="C15" i="9" s="1"/>
  <c r="K14" i="9"/>
  <c r="J14" i="9"/>
  <c r="H14" i="9"/>
  <c r="I14" i="9" s="1"/>
  <c r="F14" i="9"/>
  <c r="G14" i="9" s="1"/>
  <c r="D14" i="9"/>
  <c r="E14" i="9" s="1"/>
  <c r="B14" i="9"/>
  <c r="C14" i="9" s="1"/>
  <c r="J13" i="9"/>
  <c r="K13" i="9" s="1"/>
  <c r="I13" i="9"/>
  <c r="H13" i="9"/>
  <c r="G13" i="9"/>
  <c r="F13" i="9"/>
  <c r="D13" i="9"/>
  <c r="E13" i="9" s="1"/>
  <c r="B13" i="9"/>
  <c r="C13" i="9" s="1"/>
  <c r="J12" i="9"/>
  <c r="K12" i="9" s="1"/>
  <c r="H12" i="9"/>
  <c r="I12" i="9" s="1"/>
  <c r="F12" i="9"/>
  <c r="G12" i="9" s="1"/>
  <c r="D12" i="9"/>
  <c r="E12" i="9" s="1"/>
  <c r="B12" i="9"/>
  <c r="C12" i="9" s="1"/>
  <c r="J11" i="9"/>
  <c r="K11" i="9" s="1"/>
  <c r="H11" i="9"/>
  <c r="I11" i="9" s="1"/>
  <c r="F11" i="9"/>
  <c r="G11" i="9" s="1"/>
  <c r="D11" i="9"/>
  <c r="E11" i="9" s="1"/>
  <c r="B11" i="9"/>
  <c r="C11" i="9" s="1"/>
  <c r="J10" i="9"/>
  <c r="K10" i="9" s="1"/>
  <c r="H10" i="9"/>
  <c r="I10" i="9" s="1"/>
  <c r="G10" i="9"/>
  <c r="F10" i="9"/>
  <c r="E10" i="9"/>
  <c r="D10" i="9"/>
  <c r="B10" i="9"/>
  <c r="C10" i="9" s="1"/>
  <c r="J9" i="9"/>
  <c r="K9" i="9" s="1"/>
  <c r="H9" i="9"/>
  <c r="I9" i="9" s="1"/>
  <c r="F9" i="9"/>
  <c r="G9" i="9" s="1"/>
  <c r="D9" i="9"/>
  <c r="E9" i="9" s="1"/>
  <c r="B9" i="9"/>
  <c r="C9" i="9" s="1"/>
  <c r="J8" i="9"/>
  <c r="K8" i="9" s="1"/>
  <c r="H8" i="9"/>
  <c r="I8" i="9" s="1"/>
  <c r="G8" i="9"/>
  <c r="F8" i="9"/>
  <c r="E8" i="9"/>
  <c r="D8" i="9"/>
  <c r="B8" i="9"/>
  <c r="C8" i="9" s="1"/>
  <c r="J7" i="9"/>
  <c r="K7" i="9" s="1"/>
  <c r="H7" i="9"/>
  <c r="I7" i="9" s="1"/>
  <c r="F7" i="9"/>
  <c r="G7" i="9" s="1"/>
  <c r="E7" i="9"/>
  <c r="D7" i="9"/>
  <c r="B7" i="9"/>
  <c r="C7" i="9" s="1"/>
  <c r="J6" i="9"/>
  <c r="K6" i="9" s="1"/>
  <c r="H6" i="9"/>
  <c r="I6" i="9" s="1"/>
  <c r="F6" i="9"/>
  <c r="G6" i="9" s="1"/>
  <c r="D6" i="9"/>
  <c r="E6" i="9" s="1"/>
  <c r="B6" i="9"/>
  <c r="C6" i="9" s="1"/>
  <c r="J5" i="9"/>
  <c r="K5" i="9" s="1"/>
  <c r="H5" i="9"/>
  <c r="I5" i="9" s="1"/>
  <c r="F5" i="9"/>
  <c r="G5" i="9" s="1"/>
  <c r="E5" i="9"/>
  <c r="D5" i="9"/>
  <c r="C5" i="9"/>
  <c r="B5" i="9"/>
  <c r="J4" i="9"/>
  <c r="K4" i="9" s="1"/>
  <c r="H4" i="9"/>
  <c r="I4" i="9" s="1"/>
  <c r="F4" i="9"/>
  <c r="G4" i="9" s="1"/>
  <c r="D4" i="9"/>
  <c r="E4" i="9" s="1"/>
  <c r="B4" i="9"/>
  <c r="C4" i="9" s="1"/>
  <c r="J3" i="9"/>
  <c r="K3" i="9" s="1"/>
  <c r="H3" i="9"/>
  <c r="I3" i="9" s="1"/>
  <c r="F3" i="9"/>
  <c r="G3" i="9" s="1"/>
  <c r="D3" i="9"/>
  <c r="E3" i="9" s="1"/>
  <c r="B3" i="9"/>
  <c r="C3" i="9" s="1"/>
  <c r="J2" i="9"/>
  <c r="K2" i="9" s="1"/>
  <c r="H2" i="9"/>
  <c r="I2" i="9" s="1"/>
  <c r="F2" i="9"/>
  <c r="G2" i="9" s="1"/>
  <c r="D2" i="9"/>
  <c r="E2" i="9" s="1"/>
  <c r="C2" i="9"/>
  <c r="B2" i="9"/>
  <c r="O23" i="8"/>
  <c r="M23" i="8"/>
  <c r="K23" i="8"/>
  <c r="I23" i="8"/>
  <c r="G23" i="8"/>
  <c r="E23" i="8"/>
  <c r="C23" i="8"/>
  <c r="O22" i="8"/>
  <c r="M22" i="8"/>
  <c r="K22" i="8"/>
  <c r="I22" i="8"/>
  <c r="G22" i="8"/>
  <c r="E22" i="8"/>
  <c r="C22" i="8"/>
  <c r="O21" i="8"/>
  <c r="M21" i="8"/>
  <c r="K21" i="8"/>
  <c r="I21" i="8"/>
  <c r="G21" i="8"/>
  <c r="E21" i="8"/>
  <c r="C21" i="8"/>
  <c r="O20" i="8"/>
  <c r="M20" i="8"/>
  <c r="K20" i="8"/>
  <c r="I20" i="8"/>
  <c r="G20" i="8"/>
  <c r="E20" i="8"/>
  <c r="C20" i="8"/>
  <c r="O19" i="8"/>
  <c r="M19" i="8"/>
  <c r="K19" i="8"/>
  <c r="I19" i="8"/>
  <c r="G19" i="8"/>
  <c r="E19" i="8"/>
  <c r="C19" i="8"/>
  <c r="O18" i="8"/>
  <c r="M18" i="8"/>
  <c r="K18" i="8"/>
  <c r="I18" i="8"/>
  <c r="G18" i="8"/>
  <c r="E18" i="8"/>
  <c r="C18" i="8"/>
  <c r="O17" i="8"/>
  <c r="M17" i="8"/>
  <c r="K17" i="8"/>
  <c r="I17" i="8"/>
  <c r="G17" i="8"/>
  <c r="E17" i="8"/>
  <c r="C17" i="8"/>
  <c r="O16" i="8"/>
  <c r="M16" i="8"/>
  <c r="K16" i="8"/>
  <c r="I16" i="8"/>
  <c r="G16" i="8"/>
  <c r="E16" i="8"/>
  <c r="C16" i="8"/>
  <c r="O15" i="8"/>
  <c r="M15" i="8"/>
  <c r="K15" i="8"/>
  <c r="I15" i="8"/>
  <c r="G15" i="8"/>
  <c r="E15" i="8"/>
  <c r="C15" i="8"/>
  <c r="O14" i="8"/>
  <c r="M14" i="8"/>
  <c r="K14" i="8"/>
  <c r="I14" i="8"/>
  <c r="G14" i="8"/>
  <c r="E14" i="8"/>
  <c r="C14" i="8"/>
  <c r="O13" i="8"/>
  <c r="M13" i="8"/>
  <c r="K13" i="8"/>
  <c r="I13" i="8"/>
  <c r="G13" i="8"/>
  <c r="E13" i="8"/>
  <c r="C13" i="8"/>
  <c r="O12" i="8"/>
  <c r="M12" i="8"/>
  <c r="K12" i="8"/>
  <c r="I12" i="8"/>
  <c r="G12" i="8"/>
  <c r="E12" i="8"/>
  <c r="C12" i="8"/>
  <c r="O11" i="8"/>
  <c r="M11" i="8"/>
  <c r="K11" i="8"/>
  <c r="I11" i="8"/>
  <c r="G11" i="8"/>
  <c r="E11" i="8"/>
  <c r="C11" i="8"/>
  <c r="O10" i="8"/>
  <c r="M10" i="8"/>
  <c r="K10" i="8"/>
  <c r="I10" i="8"/>
  <c r="G10" i="8"/>
  <c r="E10" i="8"/>
  <c r="C10" i="8"/>
  <c r="O9" i="8"/>
  <c r="M9" i="8"/>
  <c r="K9" i="8"/>
  <c r="I9" i="8"/>
  <c r="G9" i="8"/>
  <c r="E9" i="8"/>
  <c r="C9" i="8"/>
  <c r="O8" i="8"/>
  <c r="M8" i="8"/>
  <c r="K8" i="8"/>
  <c r="I8" i="8"/>
  <c r="G8" i="8"/>
  <c r="E8" i="8"/>
  <c r="C8" i="8"/>
  <c r="O7" i="8"/>
  <c r="M7" i="8"/>
  <c r="K7" i="8"/>
  <c r="I7" i="8"/>
  <c r="G7" i="8"/>
  <c r="E7" i="8"/>
  <c r="C7" i="8"/>
  <c r="O6" i="8"/>
  <c r="M6" i="8"/>
  <c r="K6" i="8"/>
  <c r="I6" i="8"/>
  <c r="G6" i="8"/>
  <c r="E6" i="8"/>
  <c r="C6" i="8"/>
  <c r="O5" i="8"/>
  <c r="M5" i="8"/>
  <c r="K5" i="8"/>
  <c r="I5" i="8"/>
  <c r="G5" i="8"/>
  <c r="E5" i="8"/>
  <c r="C5" i="8"/>
  <c r="O4" i="8"/>
  <c r="M4" i="8"/>
  <c r="K4" i="8"/>
  <c r="I4" i="8"/>
  <c r="G4" i="8"/>
  <c r="E4" i="8"/>
  <c r="C4" i="8"/>
  <c r="O3" i="8"/>
  <c r="M3" i="8"/>
  <c r="K3" i="8"/>
  <c r="I3" i="8"/>
  <c r="G3" i="8"/>
  <c r="E3" i="8"/>
  <c r="C3" i="8"/>
  <c r="P21" i="7"/>
  <c r="Q21" i="7" s="1"/>
  <c r="N21" i="7"/>
  <c r="O21" i="7" s="1"/>
  <c r="L21" i="7"/>
  <c r="M21" i="7" s="1"/>
  <c r="J21" i="7"/>
  <c r="K21" i="7" s="1"/>
  <c r="H21" i="7"/>
  <c r="I21" i="7" s="1"/>
  <c r="F21" i="7"/>
  <c r="G21" i="7" s="1"/>
  <c r="D21" i="7"/>
  <c r="E21" i="7" s="1"/>
  <c r="B21" i="7"/>
  <c r="C21" i="7" s="1"/>
  <c r="P20" i="7"/>
  <c r="Q20" i="7" s="1"/>
  <c r="N20" i="7"/>
  <c r="O20" i="7" s="1"/>
  <c r="L20" i="7"/>
  <c r="M20" i="7" s="1"/>
  <c r="J20" i="7"/>
  <c r="K20" i="7" s="1"/>
  <c r="H20" i="7"/>
  <c r="I20" i="7" s="1"/>
  <c r="F20" i="7"/>
  <c r="G20" i="7" s="1"/>
  <c r="D20" i="7"/>
  <c r="E20" i="7" s="1"/>
  <c r="B20" i="7"/>
  <c r="C20" i="7" s="1"/>
  <c r="P19" i="7"/>
  <c r="Q19" i="7" s="1"/>
  <c r="N19" i="7"/>
  <c r="O19" i="7" s="1"/>
  <c r="L19" i="7"/>
  <c r="M19" i="7" s="1"/>
  <c r="J19" i="7"/>
  <c r="K19" i="7" s="1"/>
  <c r="H19" i="7"/>
  <c r="I19" i="7" s="1"/>
  <c r="F19" i="7"/>
  <c r="G19" i="7" s="1"/>
  <c r="D19" i="7"/>
  <c r="E19" i="7" s="1"/>
  <c r="B19" i="7"/>
  <c r="C19" i="7" s="1"/>
  <c r="P18" i="7"/>
  <c r="Q18" i="7" s="1"/>
  <c r="N18" i="7"/>
  <c r="O18" i="7" s="1"/>
  <c r="L18" i="7"/>
  <c r="M18" i="7" s="1"/>
  <c r="J18" i="7"/>
  <c r="K18" i="7" s="1"/>
  <c r="H18" i="7"/>
  <c r="I18" i="7" s="1"/>
  <c r="F18" i="7"/>
  <c r="G18" i="7" s="1"/>
  <c r="D18" i="7"/>
  <c r="E18" i="7" s="1"/>
  <c r="B18" i="7"/>
  <c r="C18" i="7" s="1"/>
  <c r="P17" i="7"/>
  <c r="Q17" i="7" s="1"/>
  <c r="N17" i="7"/>
  <c r="O17" i="7" s="1"/>
  <c r="L17" i="7"/>
  <c r="M17" i="7" s="1"/>
  <c r="J17" i="7"/>
  <c r="K17" i="7" s="1"/>
  <c r="I17" i="7"/>
  <c r="H17" i="7"/>
  <c r="F17" i="7"/>
  <c r="G17" i="7" s="1"/>
  <c r="D17" i="7"/>
  <c r="E17" i="7" s="1"/>
  <c r="B17" i="7"/>
  <c r="C17" i="7" s="1"/>
  <c r="P16" i="7"/>
  <c r="Q16" i="7" s="1"/>
  <c r="N16" i="7"/>
  <c r="O16" i="7" s="1"/>
  <c r="L16" i="7"/>
  <c r="M16" i="7" s="1"/>
  <c r="J16" i="7"/>
  <c r="K16" i="7" s="1"/>
  <c r="H16" i="7"/>
  <c r="I16" i="7" s="1"/>
  <c r="F16" i="7"/>
  <c r="G16" i="7" s="1"/>
  <c r="D16" i="7"/>
  <c r="E16" i="7" s="1"/>
  <c r="B16" i="7"/>
  <c r="C16" i="7" s="1"/>
  <c r="P15" i="7"/>
  <c r="Q15" i="7" s="1"/>
  <c r="N15" i="7"/>
  <c r="O15" i="7" s="1"/>
  <c r="L15" i="7"/>
  <c r="M15" i="7" s="1"/>
  <c r="J15" i="7"/>
  <c r="K15" i="7" s="1"/>
  <c r="H15" i="7"/>
  <c r="I15" i="7" s="1"/>
  <c r="F15" i="7"/>
  <c r="G15" i="7" s="1"/>
  <c r="D15" i="7"/>
  <c r="E15" i="7" s="1"/>
  <c r="B15" i="7"/>
  <c r="C15" i="7" s="1"/>
  <c r="P14" i="7"/>
  <c r="Q14" i="7" s="1"/>
  <c r="N14" i="7"/>
  <c r="O14" i="7" s="1"/>
  <c r="L14" i="7"/>
  <c r="M14" i="7" s="1"/>
  <c r="J14" i="7"/>
  <c r="K14" i="7" s="1"/>
  <c r="H14" i="7"/>
  <c r="I14" i="7" s="1"/>
  <c r="F14" i="7"/>
  <c r="G14" i="7" s="1"/>
  <c r="D14" i="7"/>
  <c r="E14" i="7" s="1"/>
  <c r="B14" i="7"/>
  <c r="C14" i="7" s="1"/>
  <c r="P13" i="7"/>
  <c r="Q13" i="7" s="1"/>
  <c r="N13" i="7"/>
  <c r="O13" i="7" s="1"/>
  <c r="L13" i="7"/>
  <c r="M13" i="7" s="1"/>
  <c r="J13" i="7"/>
  <c r="K13" i="7" s="1"/>
  <c r="H13" i="7"/>
  <c r="I13" i="7" s="1"/>
  <c r="F13" i="7"/>
  <c r="G13" i="7" s="1"/>
  <c r="D13" i="7"/>
  <c r="E13" i="7" s="1"/>
  <c r="B13" i="7"/>
  <c r="C13" i="7" s="1"/>
  <c r="P12" i="7"/>
  <c r="Q12" i="7" s="1"/>
  <c r="N12" i="7"/>
  <c r="O12" i="7" s="1"/>
  <c r="L12" i="7"/>
  <c r="M12" i="7" s="1"/>
  <c r="J12" i="7"/>
  <c r="K12" i="7" s="1"/>
  <c r="H12" i="7"/>
  <c r="I12" i="7" s="1"/>
  <c r="F12" i="7"/>
  <c r="G12" i="7" s="1"/>
  <c r="D12" i="7"/>
  <c r="E12" i="7" s="1"/>
  <c r="B12" i="7"/>
  <c r="C12" i="7" s="1"/>
  <c r="P11" i="7"/>
  <c r="Q11" i="7" s="1"/>
  <c r="N11" i="7"/>
  <c r="O11" i="7" s="1"/>
  <c r="L11" i="7"/>
  <c r="M11" i="7" s="1"/>
  <c r="J11" i="7"/>
  <c r="K11" i="7" s="1"/>
  <c r="H11" i="7"/>
  <c r="I11" i="7" s="1"/>
  <c r="F11" i="7"/>
  <c r="G11" i="7" s="1"/>
  <c r="D11" i="7"/>
  <c r="E11" i="7" s="1"/>
  <c r="B11" i="7"/>
  <c r="C11" i="7" s="1"/>
  <c r="P10" i="7"/>
  <c r="Q10" i="7" s="1"/>
  <c r="N10" i="7"/>
  <c r="O10" i="7" s="1"/>
  <c r="L10" i="7"/>
  <c r="M10" i="7" s="1"/>
  <c r="J10" i="7"/>
  <c r="K10" i="7" s="1"/>
  <c r="H10" i="7"/>
  <c r="I10" i="7" s="1"/>
  <c r="F10" i="7"/>
  <c r="G10" i="7" s="1"/>
  <c r="D10" i="7"/>
  <c r="E10" i="7" s="1"/>
  <c r="B10" i="7"/>
  <c r="C10" i="7" s="1"/>
  <c r="P9" i="7"/>
  <c r="Q9" i="7" s="1"/>
  <c r="N9" i="7"/>
  <c r="O9" i="7" s="1"/>
  <c r="L9" i="7"/>
  <c r="M9" i="7" s="1"/>
  <c r="J9" i="7"/>
  <c r="K9" i="7" s="1"/>
  <c r="H9" i="7"/>
  <c r="I9" i="7" s="1"/>
  <c r="F9" i="7"/>
  <c r="G9" i="7" s="1"/>
  <c r="D9" i="7"/>
  <c r="E9" i="7" s="1"/>
  <c r="B9" i="7"/>
  <c r="C9" i="7" s="1"/>
  <c r="P8" i="7"/>
  <c r="Q8" i="7" s="1"/>
  <c r="N8" i="7"/>
  <c r="O8" i="7" s="1"/>
  <c r="L8" i="7"/>
  <c r="M8" i="7" s="1"/>
  <c r="J8" i="7"/>
  <c r="K8" i="7" s="1"/>
  <c r="H8" i="7"/>
  <c r="I8" i="7" s="1"/>
  <c r="F8" i="7"/>
  <c r="G8" i="7" s="1"/>
  <c r="D8" i="7"/>
  <c r="E8" i="7" s="1"/>
  <c r="B8" i="7"/>
  <c r="C8" i="7" s="1"/>
  <c r="P7" i="7"/>
  <c r="Q7" i="7" s="1"/>
  <c r="N7" i="7"/>
  <c r="O7" i="7" s="1"/>
  <c r="L7" i="7"/>
  <c r="M7" i="7" s="1"/>
  <c r="J7" i="7"/>
  <c r="K7" i="7" s="1"/>
  <c r="H7" i="7"/>
  <c r="I7" i="7" s="1"/>
  <c r="F7" i="7"/>
  <c r="G7" i="7" s="1"/>
  <c r="D7" i="7"/>
  <c r="E7" i="7" s="1"/>
  <c r="B7" i="7"/>
  <c r="C7" i="7" s="1"/>
  <c r="P6" i="7"/>
  <c r="Q6" i="7" s="1"/>
  <c r="N6" i="7"/>
  <c r="O6" i="7" s="1"/>
  <c r="L6" i="7"/>
  <c r="M6" i="7" s="1"/>
  <c r="J6" i="7"/>
  <c r="K6" i="7" s="1"/>
  <c r="H6" i="7"/>
  <c r="I6" i="7" s="1"/>
  <c r="F6" i="7"/>
  <c r="G6" i="7" s="1"/>
  <c r="D6" i="7"/>
  <c r="E6" i="7" s="1"/>
  <c r="B6" i="7"/>
  <c r="C6" i="7" s="1"/>
  <c r="Q5" i="7"/>
  <c r="P5" i="7"/>
  <c r="N5" i="7"/>
  <c r="O5" i="7" s="1"/>
  <c r="L5" i="7"/>
  <c r="M5" i="7" s="1"/>
  <c r="J5" i="7"/>
  <c r="K5" i="7" s="1"/>
  <c r="H5" i="7"/>
  <c r="I5" i="7" s="1"/>
  <c r="F5" i="7"/>
  <c r="G5" i="7" s="1"/>
  <c r="D5" i="7"/>
  <c r="E5" i="7" s="1"/>
  <c r="B5" i="7"/>
  <c r="C5" i="7" s="1"/>
  <c r="P4" i="7"/>
  <c r="Q4" i="7" s="1"/>
  <c r="N4" i="7"/>
  <c r="O4" i="7" s="1"/>
  <c r="L4" i="7"/>
  <c r="M4" i="7" s="1"/>
  <c r="J4" i="7"/>
  <c r="K4" i="7" s="1"/>
  <c r="H4" i="7"/>
  <c r="I4" i="7" s="1"/>
  <c r="F4" i="7"/>
  <c r="G4" i="7" s="1"/>
  <c r="D4" i="7"/>
  <c r="E4" i="7" s="1"/>
  <c r="B4" i="7"/>
  <c r="C4" i="7" s="1"/>
  <c r="P3" i="7"/>
  <c r="Q3" i="7" s="1"/>
  <c r="N3" i="7"/>
  <c r="O3" i="7" s="1"/>
  <c r="L3" i="7"/>
  <c r="M3" i="7" s="1"/>
  <c r="J3" i="7"/>
  <c r="K3" i="7" s="1"/>
  <c r="H3" i="7"/>
  <c r="I3" i="7" s="1"/>
  <c r="F3" i="7"/>
  <c r="G3" i="7" s="1"/>
  <c r="D3" i="7"/>
  <c r="E3" i="7" s="1"/>
  <c r="B3" i="7"/>
  <c r="C3" i="7" s="1"/>
  <c r="P2" i="7"/>
  <c r="Q2" i="7" s="1"/>
  <c r="N2" i="7"/>
  <c r="O2" i="7" s="1"/>
  <c r="L2" i="7"/>
  <c r="M2" i="7" s="1"/>
  <c r="J2" i="7"/>
  <c r="K2" i="7" s="1"/>
  <c r="I2" i="7"/>
  <c r="H2" i="7"/>
  <c r="F2" i="7"/>
  <c r="G2" i="7" s="1"/>
  <c r="D2" i="7"/>
  <c r="E2" i="7" s="1"/>
  <c r="B2" i="7"/>
  <c r="C2" i="7" s="1"/>
  <c r="L35" i="2" l="1"/>
  <c r="C17" i="1" s="1"/>
  <c r="F9" i="14"/>
  <c r="G9" i="14" s="1"/>
  <c r="F13" i="14"/>
  <c r="G13" i="14" s="1"/>
  <c r="F19" i="14"/>
  <c r="F10" i="14"/>
  <c r="G10" i="14" s="1"/>
  <c r="F12" i="14"/>
  <c r="F16" i="14"/>
  <c r="G16" i="14" s="1"/>
  <c r="BY4" i="4"/>
  <c r="H23" i="2" s="1"/>
  <c r="F2" i="14"/>
  <c r="G2" i="14" s="1"/>
  <c r="F6" i="14"/>
  <c r="G6" i="14" s="1"/>
  <c r="F15" i="14"/>
  <c r="G15" i="14" s="1"/>
  <c r="F18" i="14"/>
  <c r="G18" i="14" s="1"/>
  <c r="F5" i="14"/>
  <c r="G5" i="14" s="1"/>
  <c r="F7" i="14"/>
  <c r="G7" i="14" s="1"/>
  <c r="G12" i="14"/>
  <c r="BU4" i="4" s="1"/>
  <c r="H25" i="2" s="1"/>
  <c r="C25" i="2" s="1"/>
  <c r="F3" i="14"/>
  <c r="B2" i="2"/>
  <c r="T45" i="1"/>
  <c r="B3" i="4"/>
  <c r="AG3" i="4" s="1"/>
  <c r="AW3" i="4" s="1"/>
  <c r="F12" i="2" s="1"/>
  <c r="AG4" i="4"/>
  <c r="AO4" i="4" s="1"/>
  <c r="H16" i="2" s="1"/>
  <c r="E4" i="4"/>
  <c r="E3" i="4"/>
  <c r="BT4" i="4"/>
  <c r="G25" i="2" s="1"/>
  <c r="I48" i="1"/>
  <c r="B4" i="2" s="1"/>
  <c r="BQ4" i="4"/>
  <c r="H27" i="2" s="1"/>
  <c r="BW4" i="4"/>
  <c r="H24" i="2" s="1"/>
  <c r="BR4" i="4"/>
  <c r="G26" i="2" s="1"/>
  <c r="C26" i="2" s="1"/>
  <c r="BX4" i="4"/>
  <c r="G23" i="2" s="1"/>
  <c r="C23" i="2" s="1"/>
  <c r="BS4" i="4"/>
  <c r="H26" i="2" s="1"/>
  <c r="BV4" i="4"/>
  <c r="G24" i="2" s="1"/>
  <c r="C24" i="2" s="1"/>
  <c r="BP4" i="4"/>
  <c r="G27" i="2" s="1"/>
  <c r="C27" i="2" s="1"/>
  <c r="F4" i="14"/>
  <c r="G4" i="14" s="1"/>
  <c r="G17" i="14"/>
  <c r="F14" i="14"/>
  <c r="G14" i="14" s="1"/>
  <c r="G3" i="14"/>
  <c r="G19" i="14"/>
  <c r="L2" i="2" a="1"/>
  <c r="BO3" i="4"/>
  <c r="BX3" i="4" s="1"/>
  <c r="E23" i="2" s="1"/>
  <c r="AL4" i="4"/>
  <c r="G17" i="2" s="1"/>
  <c r="AQ4" i="4"/>
  <c r="H15" i="2" s="1"/>
  <c r="AP4" i="4"/>
  <c r="G15" i="2" s="1"/>
  <c r="AV4" i="4"/>
  <c r="G12" i="2" s="1"/>
  <c r="AJ4" i="4"/>
  <c r="G18" i="2" s="1"/>
  <c r="AN4" i="4"/>
  <c r="AT4" i="4"/>
  <c r="G13" i="2" s="1"/>
  <c r="AU4" i="4"/>
  <c r="H13" i="2" s="1"/>
  <c r="AW4" i="4"/>
  <c r="H12" i="2" s="1"/>
  <c r="AK4" i="4"/>
  <c r="H18" i="2" s="1"/>
  <c r="AS4" i="4"/>
  <c r="H14" i="2" s="1"/>
  <c r="AI4" i="4"/>
  <c r="H19" i="2" s="1"/>
  <c r="F3" i="4"/>
  <c r="F4" i="4"/>
  <c r="BN4" i="4" s="1"/>
  <c r="AO3" i="4"/>
  <c r="F16" i="2" s="1"/>
  <c r="AN3" i="4"/>
  <c r="E16" i="2" s="1"/>
  <c r="AU3" i="4"/>
  <c r="F13" i="2" s="1"/>
  <c r="AL3" i="4"/>
  <c r="E17" i="2" s="1"/>
  <c r="AJ3" i="4"/>
  <c r="E18" i="2" s="1"/>
  <c r="AS3" i="4"/>
  <c r="F14" i="2" s="1"/>
  <c r="AP3" i="4"/>
  <c r="E15" i="2" s="1"/>
  <c r="AI3" i="4"/>
  <c r="F19" i="2" s="1"/>
  <c r="AV3" i="4"/>
  <c r="AQ3" i="4"/>
  <c r="F15" i="2" s="1"/>
  <c r="AH3" i="4"/>
  <c r="AM3" i="4"/>
  <c r="F17" i="2" s="1"/>
  <c r="AR3" i="4" l="1"/>
  <c r="E14" i="2" s="1"/>
  <c r="AR4" i="4"/>
  <c r="G14" i="2" s="1"/>
  <c r="AT3" i="4"/>
  <c r="E13" i="2" s="1"/>
  <c r="AM4" i="4"/>
  <c r="H17" i="2" s="1"/>
  <c r="AK3" i="4"/>
  <c r="F18" i="2" s="1"/>
  <c r="B18" i="2" s="1"/>
  <c r="AH4" i="4"/>
  <c r="G19" i="2" s="1"/>
  <c r="C13" i="2"/>
  <c r="C12" i="2"/>
  <c r="BQ3" i="4"/>
  <c r="F27" i="2" s="1"/>
  <c r="C17" i="2"/>
  <c r="AB4" i="4"/>
  <c r="G16" i="2"/>
  <c r="C16" i="2" s="1"/>
  <c r="C14" i="2"/>
  <c r="BV3" i="4"/>
  <c r="E24" i="2" s="1"/>
  <c r="C19" i="2"/>
  <c r="B16" i="2"/>
  <c r="C18" i="2"/>
  <c r="BR3" i="4"/>
  <c r="E26" i="2" s="1"/>
  <c r="C15" i="2"/>
  <c r="B15" i="2"/>
  <c r="B14" i="2"/>
  <c r="B13" i="2"/>
  <c r="X48" i="1" s="1"/>
  <c r="B17" i="2"/>
  <c r="Y3" i="4"/>
  <c r="P3" i="4" s="1"/>
  <c r="E19" i="2"/>
  <c r="B19" i="2" s="1"/>
  <c r="AF3" i="4"/>
  <c r="E12" i="2"/>
  <c r="B12" i="2" s="1"/>
  <c r="BW3" i="4"/>
  <c r="BP3" i="4"/>
  <c r="BU3" i="4"/>
  <c r="F25" i="2" s="1"/>
  <c r="BY3" i="4"/>
  <c r="BT3" i="4"/>
  <c r="BS3" i="4"/>
  <c r="AE4" i="4"/>
  <c r="Z4" i="4"/>
  <c r="AF4" i="4"/>
  <c r="AD4" i="4"/>
  <c r="AA4" i="4"/>
  <c r="BL4" i="4"/>
  <c r="AC4" i="4"/>
  <c r="Y4" i="4"/>
  <c r="P4" i="4" s="1"/>
  <c r="BK4" i="4"/>
  <c r="BM4" i="4"/>
  <c r="BH4" i="4" s="1"/>
  <c r="BB4" i="4" s="1"/>
  <c r="BJ4" i="4"/>
  <c r="BD4" i="4" s="1"/>
  <c r="AA3" i="4"/>
  <c r="AD3" i="4"/>
  <c r="Z3" i="4"/>
  <c r="AC3" i="4"/>
  <c r="AB3" i="4"/>
  <c r="AE3" i="4"/>
  <c r="X47" i="1" l="1"/>
  <c r="X51" i="1"/>
  <c r="X54" i="1"/>
  <c r="X49" i="1"/>
  <c r="X53" i="1"/>
  <c r="X52" i="1"/>
  <c r="X50" i="1"/>
  <c r="W3" i="4"/>
  <c r="N3" i="4" s="1"/>
  <c r="T4" i="4"/>
  <c r="K4" i="4" s="1"/>
  <c r="S4" i="4"/>
  <c r="J4" i="4" s="1"/>
  <c r="BK3" i="4"/>
  <c r="F26" i="2"/>
  <c r="B26" i="2" s="1"/>
  <c r="AG50" i="1" s="1"/>
  <c r="AI50" i="1" s="1"/>
  <c r="BL3" i="4"/>
  <c r="E25" i="2"/>
  <c r="B25" i="2" s="1"/>
  <c r="AG49" i="1" s="1"/>
  <c r="AI49" i="1" s="1"/>
  <c r="BN3" i="4"/>
  <c r="F23" i="2"/>
  <c r="B23" i="2" s="1"/>
  <c r="AG47" i="1" s="1"/>
  <c r="AI47" i="1" s="1"/>
  <c r="BJ3" i="4"/>
  <c r="BD3" i="4" s="1"/>
  <c r="E27" i="2"/>
  <c r="B27" i="2" s="1"/>
  <c r="AG51" i="1" s="1"/>
  <c r="AI51" i="1" s="1"/>
  <c r="BM3" i="4"/>
  <c r="F24" i="2"/>
  <c r="B24" i="2" s="1"/>
  <c r="AG48" i="1" s="1"/>
  <c r="AI48" i="1" s="1"/>
  <c r="W4" i="4"/>
  <c r="N4" i="4" s="1"/>
  <c r="V4" i="4"/>
  <c r="M4" i="4" s="1"/>
  <c r="Q4" i="4"/>
  <c r="H4" i="4" s="1"/>
  <c r="X4" i="4"/>
  <c r="O4" i="4" s="1"/>
  <c r="R4" i="4"/>
  <c r="I4" i="4" s="1"/>
  <c r="G4" i="4"/>
  <c r="U4" i="4"/>
  <c r="L4" i="4" s="1"/>
  <c r="BF4" i="4"/>
  <c r="AZ4" i="4" s="1"/>
  <c r="BG4" i="4"/>
  <c r="BA4" i="4" s="1"/>
  <c r="BI4" i="4"/>
  <c r="BC4" i="4" s="1"/>
  <c r="AX4" i="4"/>
  <c r="BE4" i="4"/>
  <c r="AY4" i="4" s="1"/>
  <c r="T3" i="4"/>
  <c r="K3" i="4" s="1"/>
  <c r="R3" i="4"/>
  <c r="I3" i="4" s="1"/>
  <c r="Q3" i="4"/>
  <c r="H3" i="4" s="1"/>
  <c r="U3" i="4"/>
  <c r="L3" i="4" s="1"/>
  <c r="G3" i="4"/>
  <c r="S3" i="4"/>
  <c r="J3" i="4" s="1"/>
  <c r="X3" i="4"/>
  <c r="O3" i="4" s="1"/>
  <c r="V3" i="4"/>
  <c r="M3" i="4" s="1"/>
  <c r="BG3" i="4" l="1"/>
  <c r="BA3" i="4" s="1"/>
  <c r="BI3" i="4"/>
  <c r="BC3" i="4" s="1"/>
  <c r="AX3" i="4"/>
  <c r="BF3" i="4"/>
  <c r="AZ3" i="4" s="1"/>
  <c r="BE3" i="4"/>
  <c r="AY3" i="4" s="1"/>
  <c r="BH3" i="4"/>
  <c r="BB3" i="4" s="1"/>
  <c r="C4" i="4"/>
  <c r="E8" i="2" s="1"/>
  <c r="D4" i="4"/>
  <c r="F8" i="2" s="1"/>
  <c r="B8" i="2" s="1"/>
  <c r="K48" i="1" s="1"/>
  <c r="C3" i="4"/>
  <c r="C8" i="2" s="1"/>
  <c r="D3" i="4" l="1"/>
  <c r="D8" i="2" s="1"/>
  <c r="A8" i="2"/>
  <c r="K47" i="1" l="1"/>
  <c r="L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<sst xmlns="http://schemas.openxmlformats.org/spreadsheetml/2006/main" count="349" uniqueCount="184">
  <si>
    <t>Gegevens speler:</t>
  </si>
  <si>
    <t>Naam</t>
  </si>
  <si>
    <t>Datum aanvraag</t>
  </si>
  <si>
    <t>Leeftijd</t>
  </si>
  <si>
    <t>Vereniging</t>
  </si>
  <si>
    <t>Bondsnummer</t>
  </si>
  <si>
    <t>Aanvraag voor:</t>
  </si>
  <si>
    <t>Omhoog/omlaag</t>
  </si>
  <si>
    <t>Gespeelde jaren</t>
  </si>
  <si>
    <t>Gewicht (kg)</t>
  </si>
  <si>
    <t>Lengte (cm)</t>
  </si>
  <si>
    <t>Geboortedatum</t>
  </si>
  <si>
    <t>Lengte</t>
  </si>
  <si>
    <t>BMI</t>
  </si>
  <si>
    <t>MV</t>
  </si>
  <si>
    <t>V</t>
  </si>
  <si>
    <t>M</t>
  </si>
  <si>
    <t>Man</t>
  </si>
  <si>
    <t>Vrouw</t>
  </si>
  <si>
    <t>LENGTE: NORM (band+fractie)</t>
  </si>
  <si>
    <t>LENGTE: BAND</t>
  </si>
  <si>
    <t>LENGTE: AFWIJKING t.o.v. NORM  (=werk.lengte - verwachte.lengte)</t>
  </si>
  <si>
    <t>LENGTE: SELECTEREN LIJNSTUK</t>
  </si>
  <si>
    <t>BMI: NORM (band+fractie)</t>
  </si>
  <si>
    <t>BMI: BAND</t>
  </si>
  <si>
    <t>BMI: AFWIJKING t.o.v. NORM  (=werk.BMI - verwachte.BMI)</t>
  </si>
  <si>
    <t>BMI: SELECTEREN LIJNSTUK</t>
  </si>
  <si>
    <t>L schaal</t>
  </si>
  <si>
    <t>B schaal</t>
  </si>
  <si>
    <t>&lt;-3</t>
  </si>
  <si>
    <t>KEY</t>
  </si>
  <si>
    <t>a(-3)</t>
  </si>
  <si>
    <t>b(-3)</t>
  </si>
  <si>
    <t>a(-2,5)</t>
  </si>
  <si>
    <t>b(-2,5)</t>
  </si>
  <si>
    <t>a(-2)</t>
  </si>
  <si>
    <t>B(-2)</t>
  </si>
  <si>
    <t>a(-1)</t>
  </si>
  <si>
    <t>b(-1)</t>
  </si>
  <si>
    <t>a(0)</t>
  </si>
  <si>
    <t>b(0)</t>
  </si>
  <si>
    <t>a(1)</t>
  </si>
  <si>
    <t>b(1)</t>
  </si>
  <si>
    <t>a(2)</t>
  </si>
  <si>
    <t>b(2)</t>
  </si>
  <si>
    <t>a(2,5)</t>
  </si>
  <si>
    <t>b(2,5)</t>
  </si>
  <si>
    <t>&lt;-2</t>
  </si>
  <si>
    <t>LENGTE norm jongens (M)</t>
  </si>
  <si>
    <t>%</t>
  </si>
  <si>
    <t>b(-2)</t>
  </si>
  <si>
    <t>BMI norm jongens (M)</t>
  </si>
  <si>
    <t>Ernstig ondergewicht</t>
  </si>
  <si>
    <t>Ondergewicht</t>
  </si>
  <si>
    <t>Gemiddeld</t>
  </si>
  <si>
    <t>Overgewicht</t>
  </si>
  <si>
    <t>Obesitas</t>
  </si>
  <si>
    <t>LENGTE norm meisjes (V)</t>
  </si>
  <si>
    <t>BMI norm meisjes (V)</t>
  </si>
  <si>
    <t>Man/vrouw</t>
  </si>
  <si>
    <t>Lengte (m)</t>
  </si>
  <si>
    <t>Rekenleeftijd (jaar)</t>
  </si>
  <si>
    <t>M/V</t>
  </si>
  <si>
    <t>Lengte/BMI</t>
  </si>
  <si>
    <t>Normlengte</t>
  </si>
  <si>
    <t>Band</t>
  </si>
  <si>
    <t>a</t>
  </si>
  <si>
    <t>b</t>
  </si>
  <si>
    <t>Normaal gewicht</t>
  </si>
  <si>
    <t>BMI (kg/m^2)</t>
  </si>
  <si>
    <t>Norm BMI</t>
  </si>
  <si>
    <t>Omhoog</t>
  </si>
  <si>
    <t>Nee</t>
  </si>
  <si>
    <t>H/L</t>
  </si>
  <si>
    <t>Omlaag</t>
  </si>
  <si>
    <t>Ja</t>
  </si>
  <si>
    <t>1e</t>
  </si>
  <si>
    <t>Waarden</t>
  </si>
  <si>
    <t>kg</t>
  </si>
  <si>
    <t>Handtekening:</t>
  </si>
  <si>
    <t>Naam:</t>
  </si>
  <si>
    <t>Datum:</t>
  </si>
  <si>
    <t>Plaats:</t>
  </si>
  <si>
    <t>Functie:</t>
  </si>
  <si>
    <t>Speler:</t>
  </si>
  <si>
    <t>Ouders / wettelijk vertegenwoordiger:</t>
  </si>
  <si>
    <t>Vereniging:</t>
  </si>
  <si>
    <t>VERKLARING: wij, spelers, ouders en vereniging, hebben kennis genomen van het dispensatiereglement van Rugby Nederland. Wij verklaren dat zowel speler, ouder als vereniging instemmen met een mogelijke dispensatie en dat wij deze noodzakelijk achten omwille van de veiligheid van de speler zelf of diens tegenstander. Was ondertekend:</t>
  </si>
  <si>
    <t>Data range 1</t>
  </si>
  <si>
    <t>Data range 2</t>
  </si>
  <si>
    <t>cm</t>
  </si>
  <si>
    <t>Classificatie dispensatie</t>
  </si>
  <si>
    <t>Geboortejaar</t>
  </si>
  <si>
    <t>Let op! Dispensatie omlaag van Turven naar Guppen vermijden</t>
  </si>
  <si>
    <t>2006M</t>
  </si>
  <si>
    <t>2007M</t>
  </si>
  <si>
    <t>2008M</t>
  </si>
  <si>
    <t>2009M</t>
  </si>
  <si>
    <t>2010M</t>
  </si>
  <si>
    <t>2011M</t>
  </si>
  <si>
    <t>2012M</t>
  </si>
  <si>
    <t>2013M</t>
  </si>
  <si>
    <t>2014M</t>
  </si>
  <si>
    <t>2015M</t>
  </si>
  <si>
    <t>Zoekstring 1</t>
  </si>
  <si>
    <t>2006V</t>
  </si>
  <si>
    <t>2007V</t>
  </si>
  <si>
    <t>2008V</t>
  </si>
  <si>
    <t>2009V</t>
  </si>
  <si>
    <t>2010V</t>
  </si>
  <si>
    <t>2011V</t>
  </si>
  <si>
    <t>2012V</t>
  </si>
  <si>
    <t>2013V</t>
  </si>
  <si>
    <t>2014V</t>
  </si>
  <si>
    <t>2015V</t>
  </si>
  <si>
    <t>Dummy</t>
  </si>
  <si>
    <t>Dispensatie omlaag van 2e jaars meisjes Colts naar Junioren</t>
  </si>
  <si>
    <t>Dispensatie Senioren omhoog niet mogelijk</t>
  </si>
  <si>
    <t>Dispensatie omhoog van Colts naar Senioren</t>
  </si>
  <si>
    <t>Let op! Dispensatie 1e jaars jongens Colts omhoog niet mogelijk</t>
  </si>
  <si>
    <t>Dispensatie omhoog van Junioren naar Colts</t>
  </si>
  <si>
    <t>Let op! Dispensatie 1e jaars Turven omhoog niet mogelijk</t>
  </si>
  <si>
    <t>Dispensatie omhoog van Cubs naar Junioren</t>
  </si>
  <si>
    <t>Let op! Dispensatie 1e jaars Cubs omhoog niet mogelijk</t>
  </si>
  <si>
    <t>Dispensatie omhoog van Mini's naar Cubs</t>
  </si>
  <si>
    <t>Let op! Dispensatie 1e jaars Mini's omhoog niet mogelijk</t>
  </si>
  <si>
    <t>Dispensatie omhoog van Benjamins naar Mini's</t>
  </si>
  <si>
    <t>Let op! Dispensatie 1e jaars Benjamins omhoog niet mogelijk</t>
  </si>
  <si>
    <t>Dispensatie omhoog van Turven naar Benjamins</t>
  </si>
  <si>
    <t>Dispensatie omhoog van Guppen naar Turven</t>
  </si>
  <si>
    <t>Dispensatie 1e jaars meisje Colt omhoog naar Senioren</t>
  </si>
  <si>
    <t>Dispensatie 3e jaars Senior omlaag niet mogelijk</t>
  </si>
  <si>
    <t>Dispensatie 2e jaars Senior omlaag niet mogelijk</t>
  </si>
  <si>
    <t>Dispensatie 1e jaars Senior U19 omlaag naar Colts</t>
  </si>
  <si>
    <t>Let op! Dispensatie omlaag van 2e jaars jongens Colts niet mogelijk</t>
  </si>
  <si>
    <t>Dispensatie omlaag van Colts naar Junioren</t>
  </si>
  <si>
    <t>Let op! Dispensatie omlaag van 2e jaars Junioren niet mogelijk</t>
  </si>
  <si>
    <t>Dispensatie 1e jaars Junior omlaag naar Cubs</t>
  </si>
  <si>
    <t>Let op! Dispensatie omlaag van 2e jaars Cubs niet mogelijk</t>
  </si>
  <si>
    <t>Let op! Dispensatie omlaag van Cubs naar Mini's vermijden</t>
  </si>
  <si>
    <t>Let op! Dispensatie omlaag van 2e jaars Mini's niet mogelijk</t>
  </si>
  <si>
    <t>Let op! Dispensatie omlaag van Mini's naar Benjamins vermijden</t>
  </si>
  <si>
    <t>Let op! Dispensatie omlaag van 2e jaars Benjamins niet mogelijk</t>
  </si>
  <si>
    <t>Let op! Dispensatie omlaag van Benjamins naar Turven vermijden</t>
  </si>
  <si>
    <t>Let op! Dispensatie omlaag van 2e jaars Turven niet mogelijk</t>
  </si>
  <si>
    <t>Let op! Dispensatie omlaag van Guppen niet mogelijk</t>
  </si>
  <si>
    <t>1e rij?</t>
  </si>
  <si>
    <t>Zoekstring</t>
  </si>
  <si>
    <t>2006-1e</t>
  </si>
  <si>
    <t>2007-1e</t>
  </si>
  <si>
    <t>2008-1e</t>
  </si>
  <si>
    <t>2009-1e</t>
  </si>
  <si>
    <t>2010-1e</t>
  </si>
  <si>
    <t>2011-1e</t>
  </si>
  <si>
    <t>2012-1e</t>
  </si>
  <si>
    <t>2013-1e</t>
  </si>
  <si>
    <t>2014-1e</t>
  </si>
  <si>
    <t>2015-1e</t>
  </si>
  <si>
    <t>Dispensatie 1e rij n.v.t.</t>
  </si>
  <si>
    <t>Let op! Dispensatie 1e jaars Junioren omhoog niet mogelijk</t>
  </si>
  <si>
    <t>Basis voor grafiek:</t>
  </si>
  <si>
    <t>2016M</t>
  </si>
  <si>
    <t>2016V</t>
  </si>
  <si>
    <t>2016-1e</t>
  </si>
  <si>
    <t>2017M</t>
  </si>
  <si>
    <t>2017V</t>
  </si>
  <si>
    <t>2017-1e</t>
  </si>
  <si>
    <r>
      <t xml:space="preserve">Dispensatie is alleen bedoeld voor uitzonderlijke gevallen waarin het niet mogelijk is om de veiligheid van spelers of diens tegenstander op een andere manier te garanderen. Dispensaties zijn uitdrukkelijk </t>
    </r>
    <r>
      <rPr>
        <b/>
        <sz val="8"/>
        <color theme="1"/>
        <rFont val="Calibri"/>
        <family val="2"/>
        <scheme val="minor"/>
      </rPr>
      <t>niet</t>
    </r>
    <r>
      <rPr>
        <sz val="8"/>
        <color theme="1"/>
        <rFont val="Calibri"/>
        <family val="2"/>
        <scheme val="minor"/>
      </rPr>
      <t xml:space="preserve"> bedoeld voor bijvoorbeeld teamvorming, om onervarenheid van spelers op te vangen en/of spelers terug te laten komen van blessures. Dispensaties zijn alleen mogelijk met toestemming van alle betrokkenen. Rugby Nederland kan een dispensatieverzoek altijd weigeren of een verleende dispensatie terugdraaien als zij de grond voor dispensatie onvoldoende aannemelijk acht. De speler alsmede de vereniging zelf blijven er te allen tijde voor verantwoordelijk dat de speler pas deelneemt aan het rugbyspel als deze voldoende getraind is en de veiligheid van de speler zelf en anderen voldoende gegarandeerd kunnen worden, onafhankelijk van of Rugby Nederland een verzoek tot dispensatie goedgekeurd, afgewezen of teruggedraaid heeft.</t>
    </r>
  </si>
  <si>
    <r>
      <t xml:space="preserve">Toelichting dispensatiegrafiek: </t>
    </r>
    <r>
      <rPr>
        <sz val="7"/>
        <color theme="1"/>
        <rFont val="Calibri"/>
        <family val="2"/>
        <scheme val="minor"/>
      </rPr>
      <t>De grafiek vergelijkt de lengte/BMI van de speler met de gemiddelde lengte van een speler met gezond gewicht van zijn eigen leeftijd. Spelers die vallen in de gearceerde gebieden wijken hiervan sterk af. Voor hen is dispensatie omhoog/omlaag aannemelijk.De grafiek is een hulpmiddel, gebaseerd op geïnterpoleerde gegevens uit de groeidiagrammen van TNO (zie: www.tno.nl of via de website van Rugby Nederland.). Deze groeidiagrammen zijn altijd leidend.</t>
    </r>
  </si>
  <si>
    <t>2018M</t>
  </si>
  <si>
    <t>2018V</t>
  </si>
  <si>
    <t>2018-1e</t>
  </si>
  <si>
    <t>2019M</t>
  </si>
  <si>
    <t>2019V</t>
  </si>
  <si>
    <t>2019-1e</t>
  </si>
  <si>
    <t>2020M</t>
  </si>
  <si>
    <t>2020V</t>
  </si>
  <si>
    <t>2020-1e</t>
  </si>
  <si>
    <t>2021M</t>
  </si>
  <si>
    <t>2021V</t>
  </si>
  <si>
    <t>2021-1e</t>
  </si>
  <si>
    <t>1e rij speler (ja/nee)</t>
  </si>
  <si>
    <t>Let op, met dispensatie is spelen 1e rij niet toegestaan!</t>
  </si>
  <si>
    <t>Seizoen 2026 - 2027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</si>
</sst>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0"/>
  </numFmts>
  <fonts count="15"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sz val="11"/>
      <name val="Calibri"/>
      <family val="2"/>
    </font>
    <font>
      <b/>
      <sz val="11"/>
      <name val="Calibri"/>
      <family val="2"/>
    </font>
    <font>
      <sz val="9"/>
      <color theme="1"/>
      <name val="Calibri"/>
      <family val="2"/>
      <scheme val="minor"/>
    </font>
    <font>
      <b/>
      <sz val="8"/>
      <color theme="1"/>
      <name val="Calibri"/>
      <family val="2"/>
      <scheme val="minor"/>
    </font>
    <font>
      <sz val="8"/>
      <color theme="1"/>
      <name val="Calibri"/>
      <family val="2"/>
      <scheme val="minor"/>
    </font>
    <font>
      <b/>
      <sz val="7"/>
      <color theme="1"/>
      <name val="Calibri"/>
      <family val="2"/>
      <scheme val="minor"/>
    </font>
    <font>
      <sz val="7"/>
      <color theme="1"/>
      <name val="Calibri"/>
      <family val="2"/>
      <scheme val="minor"/>
    </font>
    <font>
      <b/>
      <sz val="10"/>
      <color theme="1"/>
      <name val="Calibri"/>
      <family val="2"/>
      <scheme val="minor"/>
    </font>
    <font>
      <b/>
      <sz val="9"/>
      <color theme="1"/>
      <name val="Calibri"/>
      <family val="2"/>
      <scheme val="minor"/>
    </font>
    <font>
      <b/>
      <sz val="11"/>
      <color rgb="FFFF0000"/>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5"/>
        <bgColor indexed="64"/>
      </patternFill>
    </fill>
    <fill>
      <patternFill patternType="solid">
        <fgColor theme="4" tint="0.59999389629810485"/>
        <bgColor indexed="64"/>
      </patternFill>
    </fill>
    <fill>
      <patternFill patternType="solid">
        <fgColor rgb="FFFFCCFF"/>
        <bgColor indexed="64"/>
      </patternFill>
    </fill>
    <fill>
      <patternFill patternType="solid">
        <fgColor theme="8" tint="0.79998168889431442"/>
        <bgColor indexed="64"/>
      </patternFill>
    </fill>
  </fills>
  <borders count="4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0" fontId="5" fillId="0" borderId="0"/>
  </cellStyleXfs>
  <cellXfs count="203">
    <xf numFmtId="0" fontId="0" fillId="0" borderId="0" xfId="0"/>
    <xf numFmtId="0" fontId="0" fillId="0" borderId="2" xfId="0" applyBorder="1"/>
    <xf numFmtId="0" fontId="0" fillId="0" borderId="3" xfId="0" applyBorder="1"/>
    <xf numFmtId="0" fontId="3" fillId="3" borderId="0" xfId="0" applyFont="1" applyFill="1"/>
    <xf numFmtId="0" fontId="3" fillId="3" borderId="0" xfId="0" applyFont="1" applyFill="1" applyAlignment="1">
      <alignment horizontal="right"/>
    </xf>
    <xf numFmtId="0" fontId="1" fillId="3" borderId="6" xfId="0" applyFont="1" applyFill="1" applyBorder="1"/>
    <xf numFmtId="0" fontId="3" fillId="3" borderId="7" xfId="0" applyFont="1" applyFill="1" applyBorder="1"/>
    <xf numFmtId="0" fontId="3" fillId="3" borderId="8" xfId="0" applyFont="1" applyFill="1" applyBorder="1"/>
    <xf numFmtId="2" fontId="3" fillId="3" borderId="7" xfId="0" applyNumberFormat="1" applyFont="1" applyFill="1" applyBorder="1"/>
    <xf numFmtId="2" fontId="3" fillId="3" borderId="8" xfId="0" applyNumberFormat="1" applyFont="1" applyFill="1" applyBorder="1"/>
    <xf numFmtId="0" fontId="1" fillId="3" borderId="9" xfId="0" applyFont="1" applyFill="1" applyBorder="1"/>
    <xf numFmtId="0" fontId="1" fillId="3" borderId="9" xfId="0" applyFont="1" applyFill="1" applyBorder="1" applyAlignment="1">
      <alignment horizontal="right"/>
    </xf>
    <xf numFmtId="0" fontId="1" fillId="3" borderId="10" xfId="0" applyFont="1" applyFill="1" applyBorder="1" applyAlignment="1">
      <alignment horizontal="right"/>
    </xf>
    <xf numFmtId="0" fontId="1" fillId="3" borderId="11" xfId="0" applyFont="1" applyFill="1" applyBorder="1" applyAlignment="1">
      <alignment horizontal="right"/>
    </xf>
    <xf numFmtId="0" fontId="1" fillId="3" borderId="12" xfId="0" applyFont="1" applyFill="1" applyBorder="1" applyAlignment="1">
      <alignment horizontal="right"/>
    </xf>
    <xf numFmtId="0" fontId="3" fillId="0" borderId="0" xfId="0" applyFont="1"/>
    <xf numFmtId="0" fontId="0" fillId="4" borderId="9" xfId="0" applyFill="1" applyBorder="1"/>
    <xf numFmtId="2" fontId="0" fillId="4" borderId="9" xfId="0" applyNumberFormat="1" applyFill="1" applyBorder="1"/>
    <xf numFmtId="0" fontId="0" fillId="4" borderId="9" xfId="0" applyFill="1" applyBorder="1" applyAlignment="1">
      <alignment horizontal="right"/>
    </xf>
    <xf numFmtId="164" fontId="0" fillId="4" borderId="10" xfId="0" applyNumberFormat="1" applyFill="1" applyBorder="1" applyAlignment="1">
      <alignment horizontal="right"/>
    </xf>
    <xf numFmtId="0" fontId="0" fillId="4" borderId="11" xfId="0" applyFill="1" applyBorder="1"/>
    <xf numFmtId="0" fontId="0" fillId="4" borderId="12" xfId="0" applyFill="1" applyBorder="1"/>
    <xf numFmtId="2" fontId="0" fillId="4" borderId="11" xfId="0" applyNumberFormat="1" applyFill="1" applyBorder="1"/>
    <xf numFmtId="2" fontId="0" fillId="4" borderId="12" xfId="0" applyNumberFormat="1" applyFill="1" applyBorder="1"/>
    <xf numFmtId="0" fontId="0" fillId="5" borderId="9" xfId="0" applyFill="1" applyBorder="1"/>
    <xf numFmtId="2" fontId="0" fillId="5" borderId="9" xfId="0" applyNumberFormat="1" applyFill="1" applyBorder="1"/>
    <xf numFmtId="0" fontId="0" fillId="5" borderId="9" xfId="0" applyFill="1" applyBorder="1" applyAlignment="1">
      <alignment horizontal="right"/>
    </xf>
    <xf numFmtId="164" fontId="0" fillId="5" borderId="10" xfId="0" applyNumberFormat="1" applyFill="1" applyBorder="1" applyAlignment="1">
      <alignment horizontal="right"/>
    </xf>
    <xf numFmtId="0" fontId="0" fillId="5" borderId="11" xfId="0" applyFill="1" applyBorder="1"/>
    <xf numFmtId="0" fontId="0" fillId="5" borderId="12" xfId="0" applyFill="1" applyBorder="1"/>
    <xf numFmtId="2" fontId="0" fillId="5" borderId="11" xfId="0" applyNumberFormat="1" applyFill="1" applyBorder="1"/>
    <xf numFmtId="2" fontId="0" fillId="5" borderId="12" xfId="0" applyNumberFormat="1" applyFill="1" applyBorder="1"/>
    <xf numFmtId="0" fontId="0" fillId="0" borderId="0" xfId="0" applyAlignment="1">
      <alignment horizontal="right"/>
    </xf>
    <xf numFmtId="164" fontId="0" fillId="0" borderId="0" xfId="0" applyNumberFormat="1" applyAlignment="1">
      <alignment horizontal="right"/>
    </xf>
    <xf numFmtId="0" fontId="0" fillId="0" borderId="13" xfId="0" applyBorder="1"/>
    <xf numFmtId="0" fontId="0" fillId="0" borderId="14" xfId="0" applyBorder="1"/>
    <xf numFmtId="2" fontId="0" fillId="0" borderId="0" xfId="0" applyNumberFormat="1"/>
    <xf numFmtId="2" fontId="0" fillId="0" borderId="14" xfId="0" applyNumberFormat="1" applyBorder="1"/>
    <xf numFmtId="49" fontId="2" fillId="0" borderId="15" xfId="0" applyNumberFormat="1" applyFont="1" applyBorder="1" applyAlignment="1">
      <alignment horizontal="right"/>
    </xf>
    <xf numFmtId="0" fontId="2" fillId="0" borderId="16" xfId="0" applyFont="1" applyBorder="1" applyAlignment="1">
      <alignment horizontal="right"/>
    </xf>
    <xf numFmtId="0" fontId="2" fillId="0" borderId="17" xfId="0" applyFont="1" applyBorder="1" applyAlignment="1">
      <alignment horizontal="right"/>
    </xf>
    <xf numFmtId="0" fontId="2" fillId="0" borderId="18" xfId="0" applyFont="1" applyBorder="1" applyAlignment="1">
      <alignment horizontal="right"/>
    </xf>
    <xf numFmtId="49" fontId="2" fillId="0" borderId="13" xfId="0" applyNumberFormat="1" applyFont="1" applyBorder="1"/>
    <xf numFmtId="164" fontId="0" fillId="0" borderId="3" xfId="0" applyNumberFormat="1" applyBorder="1" applyAlignment="1">
      <alignment horizontal="right"/>
    </xf>
    <xf numFmtId="164" fontId="0" fillId="0" borderId="19" xfId="0" applyNumberFormat="1" applyBorder="1" applyAlignment="1">
      <alignment horizontal="right"/>
    </xf>
    <xf numFmtId="164" fontId="0" fillId="0" borderId="3" xfId="0" applyNumberFormat="1" applyBorder="1"/>
    <xf numFmtId="164" fontId="0" fillId="0" borderId="19" xfId="0" applyNumberFormat="1" applyBorder="1"/>
    <xf numFmtId="164" fontId="0" fillId="0" borderId="20" xfId="0" applyNumberFormat="1" applyBorder="1"/>
    <xf numFmtId="164" fontId="0" fillId="0" borderId="21" xfId="0" applyNumberFormat="1" applyBorder="1" applyAlignment="1">
      <alignment horizontal="right"/>
    </xf>
    <xf numFmtId="164" fontId="0" fillId="0" borderId="22" xfId="0" applyNumberFormat="1" applyBorder="1" applyAlignment="1">
      <alignment horizontal="right"/>
    </xf>
    <xf numFmtId="164" fontId="0" fillId="0" borderId="21" xfId="0" applyNumberFormat="1" applyBorder="1"/>
    <xf numFmtId="164" fontId="0" fillId="0" borderId="22" xfId="0" applyNumberFormat="1" applyBorder="1"/>
    <xf numFmtId="164" fontId="0" fillId="0" borderId="14" xfId="0" applyNumberFormat="1" applyBorder="1"/>
    <xf numFmtId="49" fontId="2" fillId="0" borderId="23" xfId="0" applyNumberFormat="1" applyFont="1" applyBorder="1"/>
    <xf numFmtId="164" fontId="0" fillId="0" borderId="24" xfId="0" applyNumberFormat="1" applyBorder="1" applyAlignment="1">
      <alignment horizontal="right"/>
    </xf>
    <xf numFmtId="164" fontId="0" fillId="0" borderId="25" xfId="0" applyNumberFormat="1" applyBorder="1" applyAlignment="1">
      <alignment horizontal="right"/>
    </xf>
    <xf numFmtId="164" fontId="0" fillId="0" borderId="24" xfId="0" applyNumberFormat="1" applyBorder="1"/>
    <xf numFmtId="164" fontId="0" fillId="0" borderId="25" xfId="0" applyNumberFormat="1" applyBorder="1"/>
    <xf numFmtId="164" fontId="0" fillId="0" borderId="26" xfId="0" applyNumberFormat="1" applyBorder="1"/>
    <xf numFmtId="49" fontId="2" fillId="0" borderId="0" xfId="0" applyNumberFormat="1" applyFont="1"/>
    <xf numFmtId="0" fontId="2" fillId="0" borderId="29" xfId="0" applyFont="1" applyBorder="1" applyAlignment="1">
      <alignment horizontal="right"/>
    </xf>
    <xf numFmtId="0" fontId="2" fillId="0" borderId="5" xfId="0" applyFont="1" applyBorder="1" applyAlignment="1">
      <alignment horizontal="right"/>
    </xf>
    <xf numFmtId="0" fontId="2" fillId="0" borderId="1" xfId="0" applyFont="1" applyBorder="1" applyAlignment="1">
      <alignment horizontal="right"/>
    </xf>
    <xf numFmtId="0" fontId="2" fillId="0" borderId="30" xfId="0" applyFont="1" applyBorder="1" applyAlignment="1">
      <alignment horizontal="right"/>
    </xf>
    <xf numFmtId="0" fontId="2" fillId="0" borderId="2" xfId="0" applyFont="1" applyBorder="1" applyAlignment="1">
      <alignment horizontal="right"/>
    </xf>
    <xf numFmtId="0" fontId="0" fillId="0" borderId="21" xfId="0" applyBorder="1"/>
    <xf numFmtId="0" fontId="2" fillId="0" borderId="3" xfId="0" applyFont="1" applyBorder="1"/>
    <xf numFmtId="0" fontId="2" fillId="0" borderId="21" xfId="0" applyFont="1" applyBorder="1"/>
    <xf numFmtId="0" fontId="0" fillId="0" borderId="31" xfId="0" applyBorder="1"/>
    <xf numFmtId="0" fontId="2" fillId="0" borderId="32" xfId="0" applyFont="1" applyBorder="1"/>
    <xf numFmtId="0" fontId="0" fillId="0" borderId="33" xfId="0" applyBorder="1"/>
    <xf numFmtId="0" fontId="0" fillId="0" borderId="23" xfId="0" applyBorder="1"/>
    <xf numFmtId="0" fontId="0" fillId="0" borderId="24" xfId="0" applyBorder="1"/>
    <xf numFmtId="49" fontId="2" fillId="0" borderId="15" xfId="0" applyNumberFormat="1" applyFont="1" applyBorder="1"/>
    <xf numFmtId="49" fontId="2" fillId="0" borderId="34" xfId="0" applyNumberFormat="1" applyFont="1" applyBorder="1"/>
    <xf numFmtId="2" fontId="0" fillId="0" borderId="3" xfId="0" applyNumberFormat="1" applyBorder="1"/>
    <xf numFmtId="2" fontId="0" fillId="0" borderId="19" xfId="0" applyNumberFormat="1" applyBorder="1"/>
    <xf numFmtId="2" fontId="0" fillId="0" borderId="20" xfId="0" applyNumberFormat="1" applyBorder="1"/>
    <xf numFmtId="2" fontId="0" fillId="0" borderId="21" xfId="0" applyNumberFormat="1" applyBorder="1"/>
    <xf numFmtId="2" fontId="0" fillId="0" borderId="22" xfId="0" applyNumberFormat="1" applyBorder="1"/>
    <xf numFmtId="49" fontId="2" fillId="0" borderId="35" xfId="0" applyNumberFormat="1" applyFont="1" applyBorder="1"/>
    <xf numFmtId="2" fontId="0" fillId="0" borderId="24" xfId="0" applyNumberFormat="1" applyBorder="1"/>
    <xf numFmtId="2" fontId="0" fillId="0" borderId="25" xfId="0" applyNumberFormat="1" applyBorder="1"/>
    <xf numFmtId="2" fontId="0" fillId="0" borderId="26" xfId="0" applyNumberFormat="1" applyBorder="1"/>
    <xf numFmtId="0" fontId="0" fillId="0" borderId="36" xfId="0" applyBorder="1"/>
    <xf numFmtId="49" fontId="2" fillId="0" borderId="27" xfId="0" applyNumberFormat="1" applyFont="1" applyBorder="1"/>
    <xf numFmtId="0" fontId="7" fillId="0" borderId="0" xfId="0" applyFont="1"/>
    <xf numFmtId="0" fontId="5" fillId="0" borderId="0" xfId="1"/>
    <xf numFmtId="0" fontId="5" fillId="0" borderId="0" xfId="1" applyAlignment="1">
      <alignment horizontal="left"/>
    </xf>
    <xf numFmtId="14" fontId="5" fillId="0" borderId="0" xfId="1" applyNumberFormat="1"/>
    <xf numFmtId="0" fontId="6" fillId="0" borderId="0" xfId="1" applyFont="1"/>
    <xf numFmtId="0" fontId="6" fillId="0" borderId="0" xfId="1" applyFont="1" applyAlignment="1">
      <alignment horizontal="left"/>
    </xf>
    <xf numFmtId="0" fontId="6" fillId="0" borderId="27" xfId="1" applyFont="1" applyBorder="1" applyAlignment="1">
      <alignment horizontal="left"/>
    </xf>
    <xf numFmtId="0" fontId="6" fillId="0" borderId="17" xfId="1" applyFont="1" applyBorder="1"/>
    <xf numFmtId="165" fontId="5" fillId="0" borderId="23" xfId="1" applyNumberFormat="1" applyBorder="1" applyAlignment="1">
      <alignment horizontal="left"/>
    </xf>
    <xf numFmtId="165" fontId="5" fillId="0" borderId="25" xfId="1" applyNumberFormat="1" applyBorder="1" applyAlignment="1">
      <alignment horizontal="left"/>
    </xf>
    <xf numFmtId="165" fontId="5" fillId="5" borderId="24" xfId="1" applyNumberFormat="1" applyFill="1" applyBorder="1"/>
    <xf numFmtId="165" fontId="5" fillId="5" borderId="26" xfId="1" applyNumberFormat="1" applyFill="1" applyBorder="1"/>
    <xf numFmtId="0" fontId="6" fillId="5" borderId="16" xfId="1" applyFont="1" applyFill="1" applyBorder="1"/>
    <xf numFmtId="0" fontId="6" fillId="5" borderId="18" xfId="1" applyFont="1" applyFill="1" applyBorder="1"/>
    <xf numFmtId="0" fontId="6" fillId="2" borderId="16" xfId="1" applyFont="1" applyFill="1" applyBorder="1"/>
    <xf numFmtId="0" fontId="6" fillId="2" borderId="17" xfId="1" applyFont="1" applyFill="1" applyBorder="1"/>
    <xf numFmtId="165" fontId="5" fillId="2" borderId="24" xfId="1" applyNumberFormat="1" applyFill="1" applyBorder="1"/>
    <xf numFmtId="165" fontId="5" fillId="2" borderId="25" xfId="1" applyNumberFormat="1" applyFill="1" applyBorder="1"/>
    <xf numFmtId="0" fontId="8" fillId="0" borderId="0" xfId="0" applyFont="1"/>
    <xf numFmtId="0" fontId="9" fillId="0" borderId="22" xfId="0" applyFont="1" applyBorder="1"/>
    <xf numFmtId="0" fontId="9" fillId="0" borderId="0" xfId="0" applyFont="1"/>
    <xf numFmtId="0" fontId="9" fillId="0" borderId="0" xfId="0" applyFont="1" applyAlignment="1">
      <alignment horizontal="left"/>
    </xf>
    <xf numFmtId="0" fontId="9" fillId="0" borderId="38" xfId="0" applyFont="1" applyBorder="1"/>
    <xf numFmtId="0" fontId="9" fillId="0" borderId="39" xfId="0" applyFont="1" applyBorder="1"/>
    <xf numFmtId="0" fontId="5" fillId="2" borderId="31" xfId="1" applyFill="1" applyBorder="1" applyAlignment="1">
      <alignment horizontal="left"/>
    </xf>
    <xf numFmtId="0" fontId="6" fillId="0" borderId="27" xfId="1" applyFont="1" applyBorder="1" applyAlignment="1">
      <alignment horizontal="right"/>
    </xf>
    <xf numFmtId="0" fontId="6" fillId="2" borderId="40" xfId="1" applyFont="1" applyFill="1" applyBorder="1" applyAlignment="1">
      <alignment horizontal="left"/>
    </xf>
    <xf numFmtId="0" fontId="6" fillId="5" borderId="41" xfId="1" applyFont="1" applyFill="1" applyBorder="1"/>
    <xf numFmtId="0" fontId="5" fillId="0" borderId="13" xfId="1" applyBorder="1"/>
    <xf numFmtId="0" fontId="5" fillId="5" borderId="42" xfId="1" applyFill="1" applyBorder="1"/>
    <xf numFmtId="0" fontId="5" fillId="0" borderId="23" xfId="1" applyBorder="1"/>
    <xf numFmtId="0" fontId="5" fillId="2" borderId="43" xfId="1" applyFill="1" applyBorder="1" applyAlignment="1">
      <alignment horizontal="left"/>
    </xf>
    <xf numFmtId="0" fontId="5" fillId="5" borderId="44" xfId="1" applyFill="1" applyBorder="1"/>
    <xf numFmtId="0" fontId="5" fillId="6" borderId="27" xfId="1" applyFill="1" applyBorder="1"/>
    <xf numFmtId="0" fontId="5" fillId="6" borderId="17" xfId="1" applyFill="1" applyBorder="1"/>
    <xf numFmtId="0" fontId="5" fillId="5" borderId="16" xfId="1" applyFill="1" applyBorder="1"/>
    <xf numFmtId="0" fontId="5" fillId="5" borderId="18" xfId="1" applyFill="1" applyBorder="1"/>
    <xf numFmtId="2" fontId="5" fillId="6" borderId="13" xfId="1" applyNumberFormat="1" applyFill="1" applyBorder="1"/>
    <xf numFmtId="2" fontId="5" fillId="6" borderId="22" xfId="1" applyNumberFormat="1" applyFill="1" applyBorder="1"/>
    <xf numFmtId="2" fontId="5" fillId="5" borderId="21" xfId="1" applyNumberFormat="1" applyFill="1" applyBorder="1"/>
    <xf numFmtId="2" fontId="5" fillId="5" borderId="14" xfId="1" applyNumberFormat="1" applyFill="1" applyBorder="1"/>
    <xf numFmtId="2" fontId="5" fillId="6" borderId="25" xfId="1" applyNumberFormat="1" applyFill="1" applyBorder="1"/>
    <xf numFmtId="2" fontId="5" fillId="5" borderId="24" xfId="1" applyNumberFormat="1" applyFill="1" applyBorder="1"/>
    <xf numFmtId="2" fontId="5" fillId="5" borderId="26" xfId="1" applyNumberFormat="1" applyFill="1" applyBorder="1"/>
    <xf numFmtId="2" fontId="5" fillId="6" borderId="23" xfId="1" applyNumberFormat="1" applyFill="1" applyBorder="1"/>
    <xf numFmtId="0" fontId="9" fillId="0" borderId="0" xfId="0" applyFont="1" applyAlignment="1">
      <alignment horizontal="right"/>
    </xf>
    <xf numFmtId="0" fontId="4" fillId="0" borderId="0" xfId="0" applyFont="1" applyAlignment="1">
      <alignment horizontal="left" vertical="top"/>
    </xf>
    <xf numFmtId="0" fontId="0" fillId="0" borderId="0" xfId="0" applyAlignment="1">
      <alignment vertical="center"/>
    </xf>
    <xf numFmtId="0" fontId="4" fillId="0" borderId="0" xfId="0" applyFont="1" applyAlignment="1">
      <alignment vertical="center"/>
    </xf>
    <xf numFmtId="0" fontId="9" fillId="0" borderId="0" xfId="0" applyFont="1" applyAlignment="1">
      <alignment vertical="center"/>
    </xf>
    <xf numFmtId="164" fontId="9" fillId="0" borderId="0" xfId="0" applyNumberFormat="1" applyFont="1" applyAlignment="1">
      <alignment vertical="center"/>
    </xf>
    <xf numFmtId="0" fontId="9" fillId="0" borderId="0" xfId="0" applyFont="1" applyAlignment="1">
      <alignment horizontal="left" vertical="center"/>
    </xf>
    <xf numFmtId="0" fontId="8" fillId="0" borderId="3" xfId="0" applyFont="1" applyBorder="1"/>
    <xf numFmtId="0" fontId="9" fillId="0" borderId="37" xfId="0" applyFont="1" applyBorder="1"/>
    <xf numFmtId="0" fontId="9" fillId="0" borderId="21" xfId="0" applyFont="1" applyBorder="1" applyAlignment="1">
      <alignment vertical="center"/>
    </xf>
    <xf numFmtId="0" fontId="0" fillId="0" borderId="38" xfId="0" applyBorder="1"/>
    <xf numFmtId="0" fontId="9" fillId="0" borderId="0" xfId="0" applyFont="1" applyAlignment="1">
      <alignment horizontal="left" vertical="top"/>
    </xf>
    <xf numFmtId="0" fontId="11" fillId="0" borderId="0" xfId="0" applyFont="1"/>
    <xf numFmtId="0" fontId="13" fillId="0" borderId="0" xfId="0" applyFont="1" applyAlignment="1">
      <alignment horizontal="left"/>
    </xf>
    <xf numFmtId="0" fontId="7" fillId="0" borderId="0" xfId="0" applyFont="1" applyAlignment="1">
      <alignment horizontal="left"/>
    </xf>
    <xf numFmtId="0" fontId="13" fillId="0" borderId="0" xfId="0" applyFont="1"/>
    <xf numFmtId="0" fontId="12" fillId="0" borderId="0" xfId="0" applyFont="1" applyAlignment="1">
      <alignment vertical="center"/>
    </xf>
    <xf numFmtId="0" fontId="4" fillId="0" borderId="0" xfId="0" applyFont="1"/>
    <xf numFmtId="0" fontId="4" fillId="0" borderId="0" xfId="0" applyFont="1" applyAlignment="1">
      <alignment vertical="top"/>
    </xf>
    <xf numFmtId="0" fontId="2" fillId="0" borderId="0" xfId="0" applyFont="1"/>
    <xf numFmtId="14" fontId="5" fillId="0" borderId="0" xfId="1" applyNumberFormat="1" applyAlignment="1">
      <alignment horizontal="left"/>
    </xf>
    <xf numFmtId="0" fontId="14" fillId="0" borderId="0" xfId="1" applyFont="1" applyAlignment="1">
      <alignment horizontal="left"/>
    </xf>
    <xf numFmtId="166" fontId="5" fillId="0" borderId="0" xfId="1" applyNumberFormat="1" applyAlignment="1">
      <alignment horizontal="left"/>
    </xf>
    <xf numFmtId="164" fontId="7" fillId="0" borderId="0" xfId="0" applyNumberFormat="1" applyFont="1"/>
    <xf numFmtId="0" fontId="12" fillId="0" borderId="38" xfId="0" applyFont="1" applyBorder="1" applyAlignment="1">
      <alignment horizontal="right"/>
    </xf>
    <xf numFmtId="0" fontId="8" fillId="0" borderId="0" xfId="0" applyFont="1" applyAlignment="1">
      <alignment horizontal="right"/>
    </xf>
    <xf numFmtId="164" fontId="8" fillId="0" borderId="0" xfId="0" applyNumberFormat="1" applyFont="1" applyAlignment="1">
      <alignment horizontal="right"/>
    </xf>
    <xf numFmtId="164" fontId="8" fillId="0" borderId="22" xfId="0" applyNumberFormat="1" applyFont="1" applyBorder="1" applyAlignment="1">
      <alignment horizontal="right"/>
    </xf>
    <xf numFmtId="0" fontId="7" fillId="0" borderId="3" xfId="0" applyFont="1" applyBorder="1" applyAlignment="1" applyProtection="1">
      <alignment horizontal="left" vertical="top" wrapText="1"/>
      <protection locked="0"/>
    </xf>
    <xf numFmtId="0" fontId="7" fillId="0" borderId="37" xfId="0" applyFont="1" applyBorder="1" applyAlignment="1" applyProtection="1">
      <alignment horizontal="left" vertical="top" wrapText="1"/>
      <protection locked="0"/>
    </xf>
    <xf numFmtId="0" fontId="7" fillId="0" borderId="19" xfId="0" applyFont="1" applyBorder="1" applyAlignment="1" applyProtection="1">
      <alignment horizontal="left" vertical="top" wrapText="1"/>
      <protection locked="0"/>
    </xf>
    <xf numFmtId="0" fontId="7" fillId="0" borderId="21"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22" xfId="0" applyFont="1" applyBorder="1" applyAlignment="1" applyProtection="1">
      <alignment horizontal="left" vertical="top" wrapText="1"/>
      <protection locked="0"/>
    </xf>
    <xf numFmtId="0" fontId="7" fillId="0" borderId="32" xfId="0" applyFont="1" applyBorder="1" applyAlignment="1" applyProtection="1">
      <alignment horizontal="left" vertical="top" wrapText="1"/>
      <protection locked="0"/>
    </xf>
    <xf numFmtId="0" fontId="7" fillId="0" borderId="38" xfId="0" applyFont="1" applyBorder="1" applyAlignment="1" applyProtection="1">
      <alignment horizontal="left" vertical="top" wrapText="1"/>
      <protection locked="0"/>
    </xf>
    <xf numFmtId="0" fontId="7" fillId="0" borderId="39" xfId="0" applyFont="1" applyBorder="1" applyAlignment="1" applyProtection="1">
      <alignment horizontal="left" vertical="top" wrapText="1"/>
      <protection locked="0"/>
    </xf>
    <xf numFmtId="164" fontId="9" fillId="0" borderId="0" xfId="0" applyNumberFormat="1" applyFont="1" applyAlignment="1">
      <alignment horizontal="left" vertical="center"/>
    </xf>
    <xf numFmtId="0" fontId="12" fillId="0" borderId="0" xfId="0" applyFont="1" applyAlignment="1">
      <alignment horizontal="left" vertical="center" wrapText="1"/>
    </xf>
    <xf numFmtId="0" fontId="9" fillId="0" borderId="0" xfId="0" applyFont="1" applyAlignment="1">
      <alignment horizontal="left" vertical="center" wrapText="1"/>
    </xf>
    <xf numFmtId="0" fontId="4" fillId="0" borderId="1"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14" fontId="4" fillId="0" borderId="1"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14" fontId="4" fillId="0" borderId="5" xfId="0" applyNumberFormat="1" applyFont="1" applyBorder="1" applyAlignment="1" applyProtection="1">
      <alignment horizontal="left" vertical="center"/>
      <protection locked="0"/>
    </xf>
    <xf numFmtId="0" fontId="11" fillId="0" borderId="3" xfId="0" applyFont="1" applyBorder="1" applyAlignment="1" applyProtection="1">
      <alignment horizontal="left" vertical="top"/>
      <protection locked="0"/>
    </xf>
    <xf numFmtId="0" fontId="11" fillId="0" borderId="37" xfId="0" applyFont="1" applyBorder="1" applyAlignment="1" applyProtection="1">
      <alignment horizontal="left" vertical="top"/>
      <protection locked="0"/>
    </xf>
    <xf numFmtId="0" fontId="11" fillId="0" borderId="19" xfId="0" applyFont="1" applyBorder="1" applyAlignment="1" applyProtection="1">
      <alignment horizontal="left" vertical="top"/>
      <protection locked="0"/>
    </xf>
    <xf numFmtId="0" fontId="11" fillId="0" borderId="21" xfId="0" applyFont="1" applyBorder="1" applyAlignment="1" applyProtection="1">
      <alignment horizontal="left" vertical="top"/>
      <protection locked="0"/>
    </xf>
    <xf numFmtId="0" fontId="11" fillId="0" borderId="0" xfId="0" applyFont="1" applyAlignment="1" applyProtection="1">
      <alignment horizontal="left" vertical="top"/>
      <protection locked="0"/>
    </xf>
    <xf numFmtId="0" fontId="11" fillId="0" borderId="22" xfId="0" applyFont="1" applyBorder="1" applyAlignment="1" applyProtection="1">
      <alignment horizontal="left" vertical="top"/>
      <protection locked="0"/>
    </xf>
    <xf numFmtId="0" fontId="11" fillId="0" borderId="32" xfId="0" applyFont="1" applyBorder="1" applyAlignment="1" applyProtection="1">
      <alignment horizontal="left" vertical="top"/>
      <protection locked="0"/>
    </xf>
    <xf numFmtId="0" fontId="11" fillId="0" borderId="38" xfId="0" applyFont="1" applyBorder="1" applyAlignment="1" applyProtection="1">
      <alignment horizontal="left" vertical="top"/>
      <protection locked="0"/>
    </xf>
    <xf numFmtId="0" fontId="11" fillId="0" borderId="39" xfId="0" applyFont="1" applyBorder="1" applyAlignment="1" applyProtection="1">
      <alignment horizontal="left" vertical="top"/>
      <protection locked="0"/>
    </xf>
    <xf numFmtId="0" fontId="10" fillId="0" borderId="21" xfId="0" applyFont="1" applyBorder="1" applyAlignment="1">
      <alignment horizontal="left" wrapText="1"/>
    </xf>
    <xf numFmtId="0" fontId="8" fillId="0" borderId="0" xfId="0" applyFont="1" applyAlignment="1">
      <alignment horizontal="left"/>
    </xf>
    <xf numFmtId="0" fontId="8" fillId="0" borderId="21" xfId="0" applyFont="1" applyBorder="1" applyAlignment="1">
      <alignment horizontal="left"/>
    </xf>
    <xf numFmtId="0" fontId="8" fillId="0" borderId="32" xfId="0" applyFont="1" applyBorder="1" applyAlignment="1">
      <alignment horizontal="left"/>
    </xf>
    <xf numFmtId="0" fontId="8" fillId="0" borderId="38" xfId="0" applyFont="1" applyBorder="1" applyAlignment="1">
      <alignment horizontal="left"/>
    </xf>
    <xf numFmtId="2" fontId="9" fillId="0" borderId="0" xfId="0" applyNumberFormat="1" applyFont="1" applyAlignment="1">
      <alignment horizontal="left" vertical="center"/>
    </xf>
    <xf numFmtId="164" fontId="8" fillId="0" borderId="0" xfId="0" applyNumberFormat="1" applyFont="1" applyAlignment="1">
      <alignment horizontal="left"/>
    </xf>
    <xf numFmtId="49" fontId="8" fillId="0" borderId="0" xfId="0" applyNumberFormat="1" applyFont="1" applyAlignment="1">
      <alignment horizontal="right"/>
    </xf>
    <xf numFmtId="1" fontId="9" fillId="0" borderId="0" xfId="0" applyNumberFormat="1" applyFont="1" applyAlignment="1">
      <alignment horizontal="right"/>
    </xf>
    <xf numFmtId="164" fontId="9" fillId="0" borderId="0" xfId="0" applyNumberFormat="1" applyFont="1" applyAlignment="1">
      <alignment horizontal="right"/>
    </xf>
    <xf numFmtId="164" fontId="9" fillId="0" borderId="22" xfId="0" applyNumberFormat="1" applyFont="1" applyBorder="1" applyAlignment="1">
      <alignment horizontal="right"/>
    </xf>
    <xf numFmtId="0" fontId="8" fillId="0" borderId="37" xfId="0" applyFont="1" applyBorder="1" applyAlignment="1">
      <alignment horizontal="left"/>
    </xf>
    <xf numFmtId="0" fontId="8" fillId="0" borderId="19" xfId="0" applyFont="1" applyBorder="1" applyAlignment="1">
      <alignment horizontal="left"/>
    </xf>
    <xf numFmtId="0" fontId="9" fillId="0" borderId="0" xfId="0" applyFont="1" applyAlignment="1">
      <alignment horizontal="center"/>
    </xf>
    <xf numFmtId="0" fontId="2" fillId="0" borderId="27" xfId="0" applyFont="1" applyBorder="1" applyAlignment="1">
      <alignment horizontal="center"/>
    </xf>
    <xf numFmtId="0" fontId="2" fillId="0" borderId="28" xfId="0" applyFont="1" applyBorder="1" applyAlignment="1">
      <alignment horizontal="center"/>
    </xf>
    <xf numFmtId="0" fontId="2" fillId="0" borderId="18" xfId="0" applyFont="1" applyBorder="1" applyAlignment="1">
      <alignment horizontal="center"/>
    </xf>
  </cellXfs>
  <cellStyles count="2">
    <cellStyle name="Standaard" xfId="0" builtinId="0"/>
    <cellStyle name="Standaard 2" xfId="1" xr:uid="{00000000-0005-0000-0000-000001000000}"/>
  </cellStyles>
  <dxfs count="0"/>
  <tableStyles count="0" defaultTableStyle="TableStyleMedium2" defaultPivotStyle="PivotStyleLight16"/>
  <colors>
    <mruColors>
      <color rgb="FFEF722D"/>
      <color rgb="FFE99A0D"/>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813170949849247E-2"/>
          <c:y val="2.1800706135982277E-2"/>
          <c:w val="0.89387779919296406"/>
          <c:h val="0.92464528339980367"/>
        </c:manualLayout>
      </c:layout>
      <c:scatterChart>
        <c:scatterStyle val="lineMarker"/>
        <c:varyColors val="0"/>
        <c:ser>
          <c:idx val="10"/>
          <c:order val="0"/>
          <c:spPr>
            <a:ln w="25400" cap="rnd">
              <a:noFill/>
              <a:round/>
            </a:ln>
            <a:effectLst/>
          </c:spPr>
          <c:marker>
            <c:symbol val="circle"/>
            <c:size val="10"/>
            <c:spPr>
              <a:solidFill>
                <a:srgbClr val="EF722D"/>
              </a:solidFill>
              <a:ln w="9525">
                <a:solidFill>
                  <a:srgbClr val="EF722D"/>
                </a:solidFill>
              </a:ln>
              <a:effectLst/>
            </c:spPr>
          </c:marker>
          <c:dPt>
            <c:idx val="0"/>
            <c:marker>
              <c:symbol val="circle"/>
              <c:size val="11"/>
              <c:spPr>
                <a:solidFill>
                  <a:srgbClr val="EF722D"/>
                </a:solidFill>
                <a:ln w="9525">
                  <a:solidFill>
                    <a:srgbClr val="EF722D"/>
                  </a:solidFill>
                </a:ln>
                <a:effectLst/>
              </c:spPr>
            </c:marker>
            <c:bubble3D val="0"/>
            <c:extLst>
              <c:ext xmlns:c16="http://schemas.microsoft.com/office/drawing/2014/chart" uri="{C3380CC4-5D6E-409C-BE32-E72D297353CC}">
                <c16:uniqueId val="{00000029-7BB3-4547-8175-5248F0A7FBA7}"/>
              </c:ext>
            </c:extLst>
          </c:dPt>
          <c:xVal>
            <c:numRef>
              <c:f>'DATA formulier'!$A$8</c:f>
              <c:numCache>
                <c:formatCode>0.000</c:formatCode>
                <c:ptCount val="1"/>
                <c:pt idx="0">
                  <c:v>#N/A</c:v>
                </c:pt>
              </c:numCache>
            </c:numRef>
          </c:xVal>
          <c:yVal>
            <c:numRef>
              <c:f>'DATA formulier'!$B$8</c:f>
              <c:numCache>
                <c:formatCode>0.000</c:formatCode>
                <c:ptCount val="1"/>
                <c:pt idx="0">
                  <c:v>0</c:v>
                </c:pt>
              </c:numCache>
            </c:numRef>
          </c:yVal>
          <c:smooth val="0"/>
          <c:extLst xmlns:c15="http://schemas.microsoft.com/office/drawing/2012/chart">
            <c:ext xmlns:c16="http://schemas.microsoft.com/office/drawing/2014/chart" uri="{C3380CC4-5D6E-409C-BE32-E72D297353CC}">
              <c16:uniqueId val="{00000002-7BB3-4547-8175-5248F0A7FBA7}"/>
            </c:ext>
          </c:extLst>
        </c:ser>
        <c:dLbls>
          <c:showLegendKey val="0"/>
          <c:showVal val="0"/>
          <c:showCatName val="0"/>
          <c:showSerName val="0"/>
          <c:showPercent val="0"/>
          <c:showBubbleSize val="0"/>
        </c:dLbls>
        <c:axId val="883010680"/>
        <c:axId val="883011008"/>
        <c:extLst/>
      </c:scatterChart>
      <c:valAx>
        <c:axId val="883010680"/>
        <c:scaling>
          <c:orientation val="minMax"/>
          <c:max val="4"/>
          <c:min val="-3"/>
        </c:scaling>
        <c:delete val="0"/>
        <c:axPos val="b"/>
        <c:majorGridlines>
          <c:spPr>
            <a:ln w="9525" cap="flat" cmpd="sng" algn="ctr">
              <a:solidFill>
                <a:schemeClr val="bg1">
                  <a:lumMod val="7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Lengte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cross"/>
        <c:minorTickMark val="cross"/>
        <c:tickLblPos val="nextTo"/>
        <c:spPr>
          <a:noFill/>
          <a:ln w="9525" cap="flat" cmpd="sng" algn="ctr">
            <a:solidFill>
              <a:schemeClr val="tx1">
                <a:lumMod val="50000"/>
                <a:lumOff val="50000"/>
              </a:schemeClr>
            </a:solidFill>
            <a:round/>
          </a:ln>
          <a:effectLst/>
        </c:spPr>
        <c:txPr>
          <a:bodyPr rot="-600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mn-cs"/>
              </a:defRPr>
            </a:pPr>
            <a:endParaRPr lang="en-US"/>
          </a:p>
        </c:txPr>
        <c:crossAx val="883011008"/>
        <c:crosses val="autoZero"/>
        <c:crossBetween val="midCat"/>
        <c:majorUnit val="1"/>
        <c:minorUnit val="0.25"/>
      </c:valAx>
      <c:valAx>
        <c:axId val="883011008"/>
        <c:scaling>
          <c:orientation val="minMax"/>
          <c:max val="4"/>
          <c:min val="-3"/>
        </c:scaling>
        <c:delete val="0"/>
        <c:axPos val="l"/>
        <c:majorGridlines>
          <c:spPr>
            <a:ln w="9525" cap="flat" cmpd="sng" algn="ctr">
              <a:solidFill>
                <a:schemeClr val="bg1">
                  <a:lumMod val="7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NL"/>
                  <a:t>BMI</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cross"/>
        <c:minorTickMark val="cross"/>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883010680"/>
        <c:crossesAt val="0"/>
        <c:crossBetween val="midCat"/>
        <c:majorUnit val="1"/>
        <c:minorUnit val="0.25"/>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20</xdr:col>
      <xdr:colOff>124157</xdr:colOff>
      <xdr:row>0</xdr:row>
      <xdr:rowOff>9525</xdr:rowOff>
    </xdr:from>
    <xdr:to>
      <xdr:col>35</xdr:col>
      <xdr:colOff>180974</xdr:colOff>
      <xdr:row>15</xdr:row>
      <xdr:rowOff>76200</xdr:rowOff>
    </xdr:to>
    <xdr:graphicFrame macro="">
      <xdr:nvGraphicFramePr>
        <xdr:cNvPr id="4" name="Grafiek 1">
          <a:extLst>
            <a:ext uri="{FF2B5EF4-FFF2-40B4-BE49-F238E27FC236}">
              <a16:creationId xmlns:a16="http://schemas.microsoft.com/office/drawing/2014/main" id="{D2694517-2457-4714-BB82-B21FF4B4B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31359</xdr:colOff>
      <xdr:row>0</xdr:row>
      <xdr:rowOff>79075</xdr:rowOff>
    </xdr:from>
    <xdr:to>
      <xdr:col>35</xdr:col>
      <xdr:colOff>68292</xdr:colOff>
      <xdr:row>14</xdr:row>
      <xdr:rowOff>114300</xdr:rowOff>
    </xdr:to>
    <xdr:sp macro="" textlink="">
      <xdr:nvSpPr>
        <xdr:cNvPr id="9" name="Freeform: Shape 8">
          <a:extLst>
            <a:ext uri="{FF2B5EF4-FFF2-40B4-BE49-F238E27FC236}">
              <a16:creationId xmlns:a16="http://schemas.microsoft.com/office/drawing/2014/main" id="{3A31A338-6041-4EED-82BE-93D075E85576}"/>
            </a:ext>
          </a:extLst>
        </xdr:cNvPr>
        <xdr:cNvSpPr/>
      </xdr:nvSpPr>
      <xdr:spPr>
        <a:xfrm>
          <a:off x="5555859" y="79075"/>
          <a:ext cx="1179933" cy="2702225"/>
        </a:xfrm>
        <a:custGeom>
          <a:avLst/>
          <a:gdLst>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38365 w 1210120"/>
            <a:gd name="connsiteY0" fmla="*/ 0 h 2958142"/>
            <a:gd name="connsiteX1" fmla="*/ 1210120 w 1210120"/>
            <a:gd name="connsiteY1" fmla="*/ 3595 h 2958142"/>
            <a:gd name="connsiteX2" fmla="*/ 1210120 w 1210120"/>
            <a:gd name="connsiteY2" fmla="*/ 2958142 h 2958142"/>
            <a:gd name="connsiteX3" fmla="*/ 642214 w 1210120"/>
            <a:gd name="connsiteY3" fmla="*/ 2958142 h 2958142"/>
            <a:gd name="connsiteX4" fmla="*/ 635025 w 1210120"/>
            <a:gd name="connsiteY4" fmla="*/ 1987670 h 2958142"/>
            <a:gd name="connsiteX5" fmla="*/ 591893 w 1210120"/>
            <a:gd name="connsiteY5" fmla="*/ 1725283 h 2958142"/>
            <a:gd name="connsiteX6" fmla="*/ 311535 w 1210120"/>
            <a:gd name="connsiteY6" fmla="*/ 1344283 h 2958142"/>
            <a:gd name="connsiteX7" fmla="*/ 38365 w 1210120"/>
            <a:gd name="connsiteY7" fmla="*/ 0 h 2958142"/>
            <a:gd name="connsiteX0" fmla="*/ 38365 w 1210120"/>
            <a:gd name="connsiteY0" fmla="*/ 0 h 2958142"/>
            <a:gd name="connsiteX1" fmla="*/ 1210120 w 1210120"/>
            <a:gd name="connsiteY1" fmla="*/ 3595 h 2958142"/>
            <a:gd name="connsiteX2" fmla="*/ 1210120 w 1210120"/>
            <a:gd name="connsiteY2" fmla="*/ 2958142 h 2958142"/>
            <a:gd name="connsiteX3" fmla="*/ 642214 w 1210120"/>
            <a:gd name="connsiteY3" fmla="*/ 2958142 h 2958142"/>
            <a:gd name="connsiteX4" fmla="*/ 635025 w 1210120"/>
            <a:gd name="connsiteY4" fmla="*/ 1987670 h 2958142"/>
            <a:gd name="connsiteX5" fmla="*/ 591893 w 1210120"/>
            <a:gd name="connsiteY5" fmla="*/ 1725283 h 2958142"/>
            <a:gd name="connsiteX6" fmla="*/ 311535 w 1210120"/>
            <a:gd name="connsiteY6" fmla="*/ 1344283 h 2958142"/>
            <a:gd name="connsiteX7" fmla="*/ 38365 w 1210120"/>
            <a:gd name="connsiteY7" fmla="*/ 0 h 2958142"/>
            <a:gd name="connsiteX0" fmla="*/ 38365 w 1210120"/>
            <a:gd name="connsiteY0" fmla="*/ 0 h 2958142"/>
            <a:gd name="connsiteX1" fmla="*/ 1210120 w 1210120"/>
            <a:gd name="connsiteY1" fmla="*/ 3595 h 2958142"/>
            <a:gd name="connsiteX2" fmla="*/ 1210120 w 1210120"/>
            <a:gd name="connsiteY2" fmla="*/ 2958142 h 2958142"/>
            <a:gd name="connsiteX3" fmla="*/ 642214 w 1210120"/>
            <a:gd name="connsiteY3" fmla="*/ 2958142 h 2958142"/>
            <a:gd name="connsiteX4" fmla="*/ 635025 w 1210120"/>
            <a:gd name="connsiteY4" fmla="*/ 1987670 h 2958142"/>
            <a:gd name="connsiteX5" fmla="*/ 591893 w 1210120"/>
            <a:gd name="connsiteY5" fmla="*/ 1725283 h 2958142"/>
            <a:gd name="connsiteX6" fmla="*/ 311535 w 1210120"/>
            <a:gd name="connsiteY6" fmla="*/ 1344283 h 2958142"/>
            <a:gd name="connsiteX7" fmla="*/ 38365 w 1210120"/>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596660 w 1171755"/>
            <a:gd name="connsiteY4" fmla="*/ 1987670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53528 w 1171755"/>
            <a:gd name="connsiteY5" fmla="*/ 1725283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273170 w 1171755"/>
            <a:gd name="connsiteY5" fmla="*/ 1344283 h 2958142"/>
            <a:gd name="connsiteX6" fmla="*/ 0 w 1171755"/>
            <a:gd name="connsiteY6"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413349 w 1171755"/>
            <a:gd name="connsiteY5" fmla="*/ 1750444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474453 w 1171755"/>
            <a:gd name="connsiteY5" fmla="*/ 1757632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21179 w 1171755"/>
            <a:gd name="connsiteY5" fmla="*/ 1772010 h 2958142"/>
            <a:gd name="connsiteX6" fmla="*/ 273170 w 1171755"/>
            <a:gd name="connsiteY6" fmla="*/ 1344283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21179 w 1171755"/>
            <a:gd name="connsiteY5" fmla="*/ 1772010 h 2958142"/>
            <a:gd name="connsiteX6" fmla="*/ 273170 w 1171755"/>
            <a:gd name="connsiteY6" fmla="*/ 1362255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21179 w 1171755"/>
            <a:gd name="connsiteY5" fmla="*/ 1772010 h 2958142"/>
            <a:gd name="connsiteX6" fmla="*/ 273170 w 1171755"/>
            <a:gd name="connsiteY6" fmla="*/ 1362255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603849 w 1171755"/>
            <a:gd name="connsiteY3" fmla="*/ 2958142 h 2958142"/>
            <a:gd name="connsiteX4" fmla="*/ 600254 w 1171755"/>
            <a:gd name="connsiteY4" fmla="*/ 2268028 h 2958142"/>
            <a:gd name="connsiteX5" fmla="*/ 581049 w 1171755"/>
            <a:gd name="connsiteY5" fmla="*/ 1688376 h 2958142"/>
            <a:gd name="connsiteX6" fmla="*/ 273170 w 1171755"/>
            <a:gd name="connsiteY6" fmla="*/ 1362255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600254 w 1171755"/>
            <a:gd name="connsiteY4" fmla="*/ 2268028 h 2958142"/>
            <a:gd name="connsiteX5" fmla="*/ 581049 w 1171755"/>
            <a:gd name="connsiteY5" fmla="*/ 1688376 h 2958142"/>
            <a:gd name="connsiteX6" fmla="*/ 273170 w 1171755"/>
            <a:gd name="connsiteY6" fmla="*/ 1362255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273170 w 1171755"/>
            <a:gd name="connsiteY6" fmla="*/ 1362255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190274 w 1171755"/>
            <a:gd name="connsiteY6" fmla="*/ 1013779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162641 w 1171755"/>
            <a:gd name="connsiteY6" fmla="*/ 846511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245537 w 1171755"/>
            <a:gd name="connsiteY6" fmla="*/ 851158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245537 w 1171755"/>
            <a:gd name="connsiteY6" fmla="*/ 851158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245537 w 1171755"/>
            <a:gd name="connsiteY6" fmla="*/ 851158 h 2958142"/>
            <a:gd name="connsiteX7" fmla="*/ 0 w 1171755"/>
            <a:gd name="connsiteY7" fmla="*/ 0 h 2958142"/>
            <a:gd name="connsiteX0" fmla="*/ 0 w 1171755"/>
            <a:gd name="connsiteY0" fmla="*/ 0 h 2958142"/>
            <a:gd name="connsiteX1" fmla="*/ 1171755 w 1171755"/>
            <a:gd name="connsiteY1" fmla="*/ 3595 h 2958142"/>
            <a:gd name="connsiteX2" fmla="*/ 1171755 w 1171755"/>
            <a:gd name="connsiteY2" fmla="*/ 2958142 h 2958142"/>
            <a:gd name="connsiteX3" fmla="*/ 783457 w 1171755"/>
            <a:gd name="connsiteY3" fmla="*/ 2958142 h 2958142"/>
            <a:gd name="connsiteX4" fmla="*/ 706177 w 1171755"/>
            <a:gd name="connsiteY4" fmla="*/ 2263382 h 2958142"/>
            <a:gd name="connsiteX5" fmla="*/ 581049 w 1171755"/>
            <a:gd name="connsiteY5" fmla="*/ 1688376 h 2958142"/>
            <a:gd name="connsiteX6" fmla="*/ 245537 w 1171755"/>
            <a:gd name="connsiteY6" fmla="*/ 851158 h 2958142"/>
            <a:gd name="connsiteX7" fmla="*/ 0 w 1171755"/>
            <a:gd name="connsiteY7" fmla="*/ 0 h 295814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171755" h="2958142">
              <a:moveTo>
                <a:pt x="0" y="0"/>
              </a:moveTo>
              <a:lnTo>
                <a:pt x="1171755" y="3595"/>
              </a:lnTo>
              <a:lnTo>
                <a:pt x="1171755" y="2958142"/>
              </a:lnTo>
              <a:lnTo>
                <a:pt x="783457" y="2958142"/>
              </a:lnTo>
              <a:cubicBezTo>
                <a:pt x="784655" y="2731699"/>
                <a:pt x="739912" y="2475010"/>
                <a:pt x="706177" y="2263382"/>
              </a:cubicBezTo>
              <a:cubicBezTo>
                <a:pt x="672442" y="2051754"/>
                <a:pt x="635563" y="1842334"/>
                <a:pt x="581049" y="1688376"/>
              </a:cubicBezTo>
              <a:cubicBezTo>
                <a:pt x="526535" y="1534419"/>
                <a:pt x="328562" y="1034980"/>
                <a:pt x="245537" y="851158"/>
              </a:cubicBezTo>
              <a:cubicBezTo>
                <a:pt x="162512" y="667336"/>
                <a:pt x="5803" y="533964"/>
                <a:pt x="0" y="0"/>
              </a:cubicBezTo>
              <a:close/>
            </a:path>
          </a:pathLst>
        </a:custGeom>
        <a:solidFill>
          <a:schemeClr val="bg1">
            <a:lumMod val="75000"/>
            <a:alpha val="40000"/>
          </a:schemeClr>
        </a:solidFill>
        <a:ln>
          <a:solidFill>
            <a:schemeClr val="tx1">
              <a:alpha val="48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r"/>
          <a:r>
            <a:rPr lang="nl-NL" sz="900" b="1">
              <a:solidFill>
                <a:sysClr val="windowText" lastClr="000000"/>
              </a:solidFill>
              <a:latin typeface="+mn-lt"/>
              <a:ea typeface="+mn-ea"/>
              <a:cs typeface="+mn-cs"/>
            </a:rPr>
            <a:t>Disp. omhoog</a:t>
          </a:r>
        </a:p>
      </xdr:txBody>
    </xdr:sp>
    <xdr:clientData/>
  </xdr:twoCellAnchor>
  <xdr:twoCellAnchor>
    <xdr:from>
      <xdr:col>21</xdr:col>
      <xdr:colOff>137302</xdr:colOff>
      <xdr:row>0</xdr:row>
      <xdr:rowOff>88281</xdr:rowOff>
    </xdr:from>
    <xdr:to>
      <xdr:col>25</xdr:col>
      <xdr:colOff>137990</xdr:colOff>
      <xdr:row>14</xdr:row>
      <xdr:rowOff>114301</xdr:rowOff>
    </xdr:to>
    <xdr:sp macro="" textlink="">
      <xdr:nvSpPr>
        <xdr:cNvPr id="10" name="Freeform: Shape 9">
          <a:extLst>
            <a:ext uri="{FF2B5EF4-FFF2-40B4-BE49-F238E27FC236}">
              <a16:creationId xmlns:a16="http://schemas.microsoft.com/office/drawing/2014/main" id="{863C3ED5-C162-4670-A214-171FCC83FD70}"/>
            </a:ext>
          </a:extLst>
        </xdr:cNvPr>
        <xdr:cNvSpPr/>
      </xdr:nvSpPr>
      <xdr:spPr>
        <a:xfrm>
          <a:off x="4137802" y="88281"/>
          <a:ext cx="762688" cy="2693020"/>
        </a:xfrm>
        <a:custGeom>
          <a:avLst/>
          <a:gdLst>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90085 w 785231"/>
            <a:gd name="connsiteY3" fmla="*/ 1691268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394939 w 785231"/>
            <a:gd name="connsiteY2" fmla="*/ 1022195 h 2959719"/>
            <a:gd name="connsiteX3" fmla="*/ 585439 w 785231"/>
            <a:gd name="connsiteY3" fmla="*/ 1681976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41403 w 785231"/>
            <a:gd name="connsiteY2" fmla="*/ 1054719 h 2959719"/>
            <a:gd name="connsiteX3" fmla="*/ 585439 w 785231"/>
            <a:gd name="connsiteY3" fmla="*/ 1681976 h 2959719"/>
            <a:gd name="connsiteX4" fmla="*/ 683012 w 785231"/>
            <a:gd name="connsiteY4" fmla="*/ 2295292 h 2959719"/>
            <a:gd name="connsiteX5" fmla="*/ 785231 w 785231"/>
            <a:gd name="connsiteY5" fmla="*/ 2959719 h 2959719"/>
            <a:gd name="connsiteX6" fmla="*/ 4646 w 785231"/>
            <a:gd name="connsiteY6" fmla="*/ 2959719 h 2959719"/>
            <a:gd name="connsiteX7" fmla="*/ 0 w 785231"/>
            <a:gd name="connsiteY7" fmla="*/ 0 h 2959719"/>
            <a:gd name="connsiteX0" fmla="*/ 0 w 785327"/>
            <a:gd name="connsiteY0" fmla="*/ 0 h 2959719"/>
            <a:gd name="connsiteX1" fmla="*/ 385646 w 785327"/>
            <a:gd name="connsiteY1" fmla="*/ 4646 h 2959719"/>
            <a:gd name="connsiteX2" fmla="*/ 441403 w 785327"/>
            <a:gd name="connsiteY2" fmla="*/ 1054719 h 2959719"/>
            <a:gd name="connsiteX3" fmla="*/ 585439 w 785327"/>
            <a:gd name="connsiteY3" fmla="*/ 1681976 h 2959719"/>
            <a:gd name="connsiteX4" fmla="*/ 683012 w 785327"/>
            <a:gd name="connsiteY4" fmla="*/ 2295292 h 2959719"/>
            <a:gd name="connsiteX5" fmla="*/ 785231 w 785327"/>
            <a:gd name="connsiteY5" fmla="*/ 2959719 h 2959719"/>
            <a:gd name="connsiteX6" fmla="*/ 4646 w 785327"/>
            <a:gd name="connsiteY6" fmla="*/ 2959719 h 2959719"/>
            <a:gd name="connsiteX7" fmla="*/ 0 w 785327"/>
            <a:gd name="connsiteY7" fmla="*/ 0 h 2959719"/>
            <a:gd name="connsiteX0" fmla="*/ 0 w 785322"/>
            <a:gd name="connsiteY0" fmla="*/ 0 h 2959719"/>
            <a:gd name="connsiteX1" fmla="*/ 385646 w 785322"/>
            <a:gd name="connsiteY1" fmla="*/ 4646 h 2959719"/>
            <a:gd name="connsiteX2" fmla="*/ 441403 w 785322"/>
            <a:gd name="connsiteY2" fmla="*/ 1054719 h 2959719"/>
            <a:gd name="connsiteX3" fmla="*/ 585439 w 785322"/>
            <a:gd name="connsiteY3" fmla="*/ 1681976 h 2959719"/>
            <a:gd name="connsiteX4" fmla="*/ 683012 w 785322"/>
            <a:gd name="connsiteY4" fmla="*/ 2295292 h 2959719"/>
            <a:gd name="connsiteX5" fmla="*/ 785231 w 785322"/>
            <a:gd name="connsiteY5" fmla="*/ 2959719 h 2959719"/>
            <a:gd name="connsiteX6" fmla="*/ 4646 w 785322"/>
            <a:gd name="connsiteY6" fmla="*/ 2959719 h 2959719"/>
            <a:gd name="connsiteX7" fmla="*/ 0 w 785322"/>
            <a:gd name="connsiteY7" fmla="*/ 0 h 2959719"/>
            <a:gd name="connsiteX0" fmla="*/ 0 w 785371"/>
            <a:gd name="connsiteY0" fmla="*/ 0 h 2959719"/>
            <a:gd name="connsiteX1" fmla="*/ 385646 w 785371"/>
            <a:gd name="connsiteY1" fmla="*/ 4646 h 2959719"/>
            <a:gd name="connsiteX2" fmla="*/ 441403 w 785371"/>
            <a:gd name="connsiteY2" fmla="*/ 1054719 h 2959719"/>
            <a:gd name="connsiteX3" fmla="*/ 585439 w 785371"/>
            <a:gd name="connsiteY3" fmla="*/ 1681976 h 2959719"/>
            <a:gd name="connsiteX4" fmla="*/ 710890 w 785371"/>
            <a:gd name="connsiteY4" fmla="*/ 2193072 h 2959719"/>
            <a:gd name="connsiteX5" fmla="*/ 785231 w 785371"/>
            <a:gd name="connsiteY5" fmla="*/ 2959719 h 2959719"/>
            <a:gd name="connsiteX6" fmla="*/ 4646 w 785371"/>
            <a:gd name="connsiteY6" fmla="*/ 2959719 h 2959719"/>
            <a:gd name="connsiteX7" fmla="*/ 0 w 785371"/>
            <a:gd name="connsiteY7" fmla="*/ 0 h 2959719"/>
            <a:gd name="connsiteX0" fmla="*/ 0 w 785385"/>
            <a:gd name="connsiteY0" fmla="*/ 0 h 2959719"/>
            <a:gd name="connsiteX1" fmla="*/ 385646 w 785385"/>
            <a:gd name="connsiteY1" fmla="*/ 4646 h 2959719"/>
            <a:gd name="connsiteX2" fmla="*/ 441403 w 785385"/>
            <a:gd name="connsiteY2" fmla="*/ 1054719 h 2959719"/>
            <a:gd name="connsiteX3" fmla="*/ 585439 w 785385"/>
            <a:gd name="connsiteY3" fmla="*/ 1681976 h 2959719"/>
            <a:gd name="connsiteX4" fmla="*/ 715536 w 785385"/>
            <a:gd name="connsiteY4" fmla="*/ 2467206 h 2959719"/>
            <a:gd name="connsiteX5" fmla="*/ 785231 w 785385"/>
            <a:gd name="connsiteY5" fmla="*/ 2959719 h 2959719"/>
            <a:gd name="connsiteX6" fmla="*/ 4646 w 785385"/>
            <a:gd name="connsiteY6" fmla="*/ 2959719 h 2959719"/>
            <a:gd name="connsiteX7" fmla="*/ 0 w 785385"/>
            <a:gd name="connsiteY7" fmla="*/ 0 h 2959719"/>
            <a:gd name="connsiteX0" fmla="*/ 0 w 785231"/>
            <a:gd name="connsiteY0" fmla="*/ 0 h 2959719"/>
            <a:gd name="connsiteX1" fmla="*/ 385646 w 785231"/>
            <a:gd name="connsiteY1" fmla="*/ 4646 h 2959719"/>
            <a:gd name="connsiteX2" fmla="*/ 441403 w 785231"/>
            <a:gd name="connsiteY2" fmla="*/ 1054719 h 2959719"/>
            <a:gd name="connsiteX3" fmla="*/ 585439 w 785231"/>
            <a:gd name="connsiteY3" fmla="*/ 1681976 h 2959719"/>
            <a:gd name="connsiteX4" fmla="*/ 715536 w 785231"/>
            <a:gd name="connsiteY4" fmla="*/ 2467206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41403 w 785231"/>
            <a:gd name="connsiteY2" fmla="*/ 1054719 h 2959719"/>
            <a:gd name="connsiteX3" fmla="*/ 585439 w 785231"/>
            <a:gd name="connsiteY3" fmla="*/ 1681976 h 2959719"/>
            <a:gd name="connsiteX4" fmla="*/ 683011 w 785231"/>
            <a:gd name="connsiteY4" fmla="*/ 2137316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41403 w 785231"/>
            <a:gd name="connsiteY2" fmla="*/ 892097 h 2959719"/>
            <a:gd name="connsiteX3" fmla="*/ 585439 w 785231"/>
            <a:gd name="connsiteY3" fmla="*/ 1681976 h 2959719"/>
            <a:gd name="connsiteX4" fmla="*/ 683011 w 785231"/>
            <a:gd name="connsiteY4" fmla="*/ 2137316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41403 w 785231"/>
            <a:gd name="connsiteY2" fmla="*/ 892097 h 2959719"/>
            <a:gd name="connsiteX3" fmla="*/ 585439 w 785231"/>
            <a:gd name="connsiteY3" fmla="*/ 1681976 h 2959719"/>
            <a:gd name="connsiteX4" fmla="*/ 706242 w 785231"/>
            <a:gd name="connsiteY4" fmla="*/ 2207011 h 2959719"/>
            <a:gd name="connsiteX5" fmla="*/ 785231 w 785231"/>
            <a:gd name="connsiteY5" fmla="*/ 2959719 h 2959719"/>
            <a:gd name="connsiteX6" fmla="*/ 4646 w 785231"/>
            <a:gd name="connsiteY6" fmla="*/ 2959719 h 2959719"/>
            <a:gd name="connsiteX7" fmla="*/ 0 w 785231"/>
            <a:gd name="connsiteY7" fmla="*/ 0 h 2959719"/>
            <a:gd name="connsiteX0" fmla="*/ 0 w 785455"/>
            <a:gd name="connsiteY0" fmla="*/ 0 h 2959719"/>
            <a:gd name="connsiteX1" fmla="*/ 385646 w 785455"/>
            <a:gd name="connsiteY1" fmla="*/ 4646 h 2959719"/>
            <a:gd name="connsiteX2" fmla="*/ 441403 w 785455"/>
            <a:gd name="connsiteY2" fmla="*/ 892097 h 2959719"/>
            <a:gd name="connsiteX3" fmla="*/ 585439 w 785455"/>
            <a:gd name="connsiteY3" fmla="*/ 1681976 h 2959719"/>
            <a:gd name="connsiteX4" fmla="*/ 771291 w 785455"/>
            <a:gd name="connsiteY4" fmla="*/ 2299938 h 2959719"/>
            <a:gd name="connsiteX5" fmla="*/ 785231 w 785455"/>
            <a:gd name="connsiteY5" fmla="*/ 2959719 h 2959719"/>
            <a:gd name="connsiteX6" fmla="*/ 4646 w 785455"/>
            <a:gd name="connsiteY6" fmla="*/ 2959719 h 2959719"/>
            <a:gd name="connsiteX7" fmla="*/ 0 w 785455"/>
            <a:gd name="connsiteY7" fmla="*/ 0 h 2959719"/>
            <a:gd name="connsiteX0" fmla="*/ 0 w 785231"/>
            <a:gd name="connsiteY0" fmla="*/ 0 h 2959719"/>
            <a:gd name="connsiteX1" fmla="*/ 385646 w 785231"/>
            <a:gd name="connsiteY1" fmla="*/ 4646 h 2959719"/>
            <a:gd name="connsiteX2" fmla="*/ 441403 w 785231"/>
            <a:gd name="connsiteY2" fmla="*/ 892097 h 2959719"/>
            <a:gd name="connsiteX3" fmla="*/ 585439 w 785231"/>
            <a:gd name="connsiteY3" fmla="*/ 1681976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41403 w 785231"/>
            <a:gd name="connsiteY2" fmla="*/ 892097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13525 w 785231"/>
            <a:gd name="connsiteY2" fmla="*/ 906036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13525 w 785231"/>
            <a:gd name="connsiteY2" fmla="*/ 906036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13525 w 785231"/>
            <a:gd name="connsiteY2" fmla="*/ 906036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13525 w 785231"/>
            <a:gd name="connsiteY2" fmla="*/ 906036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04232 w 785231"/>
            <a:gd name="connsiteY2" fmla="*/ 1050072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0 h 2959719"/>
            <a:gd name="connsiteX1" fmla="*/ 385646 w 785231"/>
            <a:gd name="connsiteY1" fmla="*/ 4646 h 2959719"/>
            <a:gd name="connsiteX2" fmla="*/ 404232 w 785231"/>
            <a:gd name="connsiteY2" fmla="*/ 1050072 h 2959719"/>
            <a:gd name="connsiteX3" fmla="*/ 441402 w 785231"/>
            <a:gd name="connsiteY3" fmla="*/ 1709854 h 2959719"/>
            <a:gd name="connsiteX4" fmla="*/ 734121 w 785231"/>
            <a:gd name="connsiteY4" fmla="*/ 2323169 h 2959719"/>
            <a:gd name="connsiteX5" fmla="*/ 785231 w 785231"/>
            <a:gd name="connsiteY5" fmla="*/ 2959719 h 2959719"/>
            <a:gd name="connsiteX6" fmla="*/ 4646 w 785231"/>
            <a:gd name="connsiteY6" fmla="*/ 2959719 h 2959719"/>
            <a:gd name="connsiteX7" fmla="*/ 0 w 785231"/>
            <a:gd name="connsiteY7" fmla="*/ 0 h 2959719"/>
            <a:gd name="connsiteX0" fmla="*/ 0 w 785231"/>
            <a:gd name="connsiteY0" fmla="*/ 9293 h 2969012"/>
            <a:gd name="connsiteX1" fmla="*/ 51109 w 785231"/>
            <a:gd name="connsiteY1" fmla="*/ 0 h 2969012"/>
            <a:gd name="connsiteX2" fmla="*/ 404232 w 785231"/>
            <a:gd name="connsiteY2" fmla="*/ 1059365 h 2969012"/>
            <a:gd name="connsiteX3" fmla="*/ 441402 w 785231"/>
            <a:gd name="connsiteY3" fmla="*/ 1719147 h 2969012"/>
            <a:gd name="connsiteX4" fmla="*/ 734121 w 785231"/>
            <a:gd name="connsiteY4" fmla="*/ 2332462 h 2969012"/>
            <a:gd name="connsiteX5" fmla="*/ 785231 w 785231"/>
            <a:gd name="connsiteY5" fmla="*/ 2969012 h 2969012"/>
            <a:gd name="connsiteX6" fmla="*/ 4646 w 785231"/>
            <a:gd name="connsiteY6" fmla="*/ 2969012 h 2969012"/>
            <a:gd name="connsiteX7" fmla="*/ 0 w 785231"/>
            <a:gd name="connsiteY7" fmla="*/ 9293 h 2969012"/>
            <a:gd name="connsiteX0" fmla="*/ 0 w 785231"/>
            <a:gd name="connsiteY0" fmla="*/ 9293 h 2969012"/>
            <a:gd name="connsiteX1" fmla="*/ 51109 w 785231"/>
            <a:gd name="connsiteY1" fmla="*/ 0 h 2969012"/>
            <a:gd name="connsiteX2" fmla="*/ 204439 w 785231"/>
            <a:gd name="connsiteY2" fmla="*/ 1050073 h 2969012"/>
            <a:gd name="connsiteX3" fmla="*/ 441402 w 785231"/>
            <a:gd name="connsiteY3" fmla="*/ 1719147 h 2969012"/>
            <a:gd name="connsiteX4" fmla="*/ 734121 w 785231"/>
            <a:gd name="connsiteY4" fmla="*/ 2332462 h 2969012"/>
            <a:gd name="connsiteX5" fmla="*/ 785231 w 785231"/>
            <a:gd name="connsiteY5" fmla="*/ 2969012 h 2969012"/>
            <a:gd name="connsiteX6" fmla="*/ 4646 w 785231"/>
            <a:gd name="connsiteY6" fmla="*/ 2969012 h 2969012"/>
            <a:gd name="connsiteX7" fmla="*/ 0 w 785231"/>
            <a:gd name="connsiteY7" fmla="*/ 9293 h 2969012"/>
            <a:gd name="connsiteX0" fmla="*/ 0 w 786246"/>
            <a:gd name="connsiteY0" fmla="*/ 9293 h 2969012"/>
            <a:gd name="connsiteX1" fmla="*/ 51109 w 786246"/>
            <a:gd name="connsiteY1" fmla="*/ 0 h 2969012"/>
            <a:gd name="connsiteX2" fmla="*/ 204439 w 786246"/>
            <a:gd name="connsiteY2" fmla="*/ 1050073 h 2969012"/>
            <a:gd name="connsiteX3" fmla="*/ 297365 w 786246"/>
            <a:gd name="connsiteY3" fmla="*/ 1714500 h 2969012"/>
            <a:gd name="connsiteX4" fmla="*/ 734121 w 786246"/>
            <a:gd name="connsiteY4" fmla="*/ 2332462 h 2969012"/>
            <a:gd name="connsiteX5" fmla="*/ 785231 w 786246"/>
            <a:gd name="connsiteY5" fmla="*/ 2969012 h 2969012"/>
            <a:gd name="connsiteX6" fmla="*/ 4646 w 786246"/>
            <a:gd name="connsiteY6" fmla="*/ 2969012 h 2969012"/>
            <a:gd name="connsiteX7" fmla="*/ 0 w 786246"/>
            <a:gd name="connsiteY7" fmla="*/ 9293 h 2969012"/>
            <a:gd name="connsiteX0" fmla="*/ 0 w 791049"/>
            <a:gd name="connsiteY0" fmla="*/ 9293 h 2969012"/>
            <a:gd name="connsiteX1" fmla="*/ 51109 w 791049"/>
            <a:gd name="connsiteY1" fmla="*/ 0 h 2969012"/>
            <a:gd name="connsiteX2" fmla="*/ 204439 w 791049"/>
            <a:gd name="connsiteY2" fmla="*/ 1050073 h 2969012"/>
            <a:gd name="connsiteX3" fmla="*/ 218377 w 791049"/>
            <a:gd name="connsiteY3" fmla="*/ 1691269 h 2969012"/>
            <a:gd name="connsiteX4" fmla="*/ 734121 w 791049"/>
            <a:gd name="connsiteY4" fmla="*/ 2332462 h 2969012"/>
            <a:gd name="connsiteX5" fmla="*/ 785231 w 791049"/>
            <a:gd name="connsiteY5" fmla="*/ 2969012 h 2969012"/>
            <a:gd name="connsiteX6" fmla="*/ 4646 w 791049"/>
            <a:gd name="connsiteY6" fmla="*/ 2969012 h 2969012"/>
            <a:gd name="connsiteX7" fmla="*/ 0 w 791049"/>
            <a:gd name="connsiteY7" fmla="*/ 9293 h 2969012"/>
            <a:gd name="connsiteX0" fmla="*/ 0 w 791049"/>
            <a:gd name="connsiteY0" fmla="*/ 9293 h 2969012"/>
            <a:gd name="connsiteX1" fmla="*/ 51109 w 791049"/>
            <a:gd name="connsiteY1" fmla="*/ 0 h 2969012"/>
            <a:gd name="connsiteX2" fmla="*/ 111512 w 791049"/>
            <a:gd name="connsiteY2" fmla="*/ 864220 h 2969012"/>
            <a:gd name="connsiteX3" fmla="*/ 218377 w 791049"/>
            <a:gd name="connsiteY3" fmla="*/ 1691269 h 2969012"/>
            <a:gd name="connsiteX4" fmla="*/ 734121 w 791049"/>
            <a:gd name="connsiteY4" fmla="*/ 2332462 h 2969012"/>
            <a:gd name="connsiteX5" fmla="*/ 785231 w 791049"/>
            <a:gd name="connsiteY5" fmla="*/ 2969012 h 2969012"/>
            <a:gd name="connsiteX6" fmla="*/ 4646 w 791049"/>
            <a:gd name="connsiteY6" fmla="*/ 2969012 h 2969012"/>
            <a:gd name="connsiteX7" fmla="*/ 0 w 791049"/>
            <a:gd name="connsiteY7" fmla="*/ 9293 h 2969012"/>
            <a:gd name="connsiteX0" fmla="*/ 0 w 785231"/>
            <a:gd name="connsiteY0" fmla="*/ 9293 h 2969012"/>
            <a:gd name="connsiteX1" fmla="*/ 51109 w 785231"/>
            <a:gd name="connsiteY1" fmla="*/ 0 h 2969012"/>
            <a:gd name="connsiteX2" fmla="*/ 111512 w 785231"/>
            <a:gd name="connsiteY2" fmla="*/ 864220 h 2969012"/>
            <a:gd name="connsiteX3" fmla="*/ 218377 w 785231"/>
            <a:gd name="connsiteY3" fmla="*/ 1691269 h 2969012"/>
            <a:gd name="connsiteX4" fmla="*/ 497157 w 785231"/>
            <a:gd name="connsiteY4" fmla="*/ 2332462 h 2969012"/>
            <a:gd name="connsiteX5" fmla="*/ 785231 w 785231"/>
            <a:gd name="connsiteY5" fmla="*/ 2969012 h 2969012"/>
            <a:gd name="connsiteX6" fmla="*/ 4646 w 785231"/>
            <a:gd name="connsiteY6" fmla="*/ 2969012 h 2969012"/>
            <a:gd name="connsiteX7" fmla="*/ 0 w 785231"/>
            <a:gd name="connsiteY7" fmla="*/ 9293 h 2969012"/>
            <a:gd name="connsiteX0" fmla="*/ 0 w 785267"/>
            <a:gd name="connsiteY0" fmla="*/ 9293 h 2969012"/>
            <a:gd name="connsiteX1" fmla="*/ 51109 w 785267"/>
            <a:gd name="connsiteY1" fmla="*/ 0 h 2969012"/>
            <a:gd name="connsiteX2" fmla="*/ 111512 w 785267"/>
            <a:gd name="connsiteY2" fmla="*/ 864220 h 2969012"/>
            <a:gd name="connsiteX3" fmla="*/ 218377 w 785267"/>
            <a:gd name="connsiteY3" fmla="*/ 1691269 h 2969012"/>
            <a:gd name="connsiteX4" fmla="*/ 497157 w 785267"/>
            <a:gd name="connsiteY4" fmla="*/ 2332462 h 2969012"/>
            <a:gd name="connsiteX5" fmla="*/ 785231 w 785267"/>
            <a:gd name="connsiteY5" fmla="*/ 2969012 h 2969012"/>
            <a:gd name="connsiteX6" fmla="*/ 4646 w 785267"/>
            <a:gd name="connsiteY6" fmla="*/ 2969012 h 2969012"/>
            <a:gd name="connsiteX7" fmla="*/ 0 w 785267"/>
            <a:gd name="connsiteY7" fmla="*/ 9293 h 2969012"/>
            <a:gd name="connsiteX0" fmla="*/ 0 w 785231"/>
            <a:gd name="connsiteY0" fmla="*/ 9293 h 2969012"/>
            <a:gd name="connsiteX1" fmla="*/ 51109 w 785231"/>
            <a:gd name="connsiteY1" fmla="*/ 0 h 2969012"/>
            <a:gd name="connsiteX2" fmla="*/ 111512 w 785231"/>
            <a:gd name="connsiteY2" fmla="*/ 864220 h 2969012"/>
            <a:gd name="connsiteX3" fmla="*/ 218377 w 785231"/>
            <a:gd name="connsiteY3" fmla="*/ 1691269 h 2969012"/>
            <a:gd name="connsiteX4" fmla="*/ 497157 w 785231"/>
            <a:gd name="connsiteY4" fmla="*/ 2332462 h 2969012"/>
            <a:gd name="connsiteX5" fmla="*/ 785231 w 785231"/>
            <a:gd name="connsiteY5" fmla="*/ 2969012 h 2969012"/>
            <a:gd name="connsiteX6" fmla="*/ 4646 w 785231"/>
            <a:gd name="connsiteY6" fmla="*/ 2969012 h 2969012"/>
            <a:gd name="connsiteX7" fmla="*/ 0 w 785231"/>
            <a:gd name="connsiteY7" fmla="*/ 9293 h 2969012"/>
            <a:gd name="connsiteX0" fmla="*/ 0 w 785231"/>
            <a:gd name="connsiteY0" fmla="*/ 9293 h 2969012"/>
            <a:gd name="connsiteX1" fmla="*/ 51109 w 785231"/>
            <a:gd name="connsiteY1" fmla="*/ 0 h 2969012"/>
            <a:gd name="connsiteX2" fmla="*/ 111512 w 785231"/>
            <a:gd name="connsiteY2" fmla="*/ 864220 h 2969012"/>
            <a:gd name="connsiteX3" fmla="*/ 218377 w 785231"/>
            <a:gd name="connsiteY3" fmla="*/ 1691269 h 2969012"/>
            <a:gd name="connsiteX4" fmla="*/ 450693 w 785231"/>
            <a:gd name="connsiteY4" fmla="*/ 2295291 h 2969012"/>
            <a:gd name="connsiteX5" fmla="*/ 785231 w 785231"/>
            <a:gd name="connsiteY5" fmla="*/ 2969012 h 2969012"/>
            <a:gd name="connsiteX6" fmla="*/ 4646 w 785231"/>
            <a:gd name="connsiteY6" fmla="*/ 2969012 h 2969012"/>
            <a:gd name="connsiteX7" fmla="*/ 0 w 785231"/>
            <a:gd name="connsiteY7" fmla="*/ 9293 h 2969012"/>
            <a:gd name="connsiteX0" fmla="*/ 0 w 785231"/>
            <a:gd name="connsiteY0" fmla="*/ 9293 h 2969012"/>
            <a:gd name="connsiteX1" fmla="*/ 51109 w 785231"/>
            <a:gd name="connsiteY1" fmla="*/ 0 h 2969012"/>
            <a:gd name="connsiteX2" fmla="*/ 111512 w 785231"/>
            <a:gd name="connsiteY2" fmla="*/ 864220 h 2969012"/>
            <a:gd name="connsiteX3" fmla="*/ 413523 w 785231"/>
            <a:gd name="connsiteY3" fmla="*/ 1691269 h 2969012"/>
            <a:gd name="connsiteX4" fmla="*/ 450693 w 785231"/>
            <a:gd name="connsiteY4" fmla="*/ 2295291 h 2969012"/>
            <a:gd name="connsiteX5" fmla="*/ 785231 w 785231"/>
            <a:gd name="connsiteY5" fmla="*/ 2969012 h 2969012"/>
            <a:gd name="connsiteX6" fmla="*/ 4646 w 785231"/>
            <a:gd name="connsiteY6" fmla="*/ 2969012 h 2969012"/>
            <a:gd name="connsiteX7" fmla="*/ 0 w 785231"/>
            <a:gd name="connsiteY7" fmla="*/ 9293 h 2969012"/>
            <a:gd name="connsiteX0" fmla="*/ 0 w 785231"/>
            <a:gd name="connsiteY0" fmla="*/ 9293 h 2969012"/>
            <a:gd name="connsiteX1" fmla="*/ 51109 w 785231"/>
            <a:gd name="connsiteY1" fmla="*/ 0 h 2969012"/>
            <a:gd name="connsiteX2" fmla="*/ 195146 w 785231"/>
            <a:gd name="connsiteY2" fmla="*/ 864220 h 2969012"/>
            <a:gd name="connsiteX3" fmla="*/ 413523 w 785231"/>
            <a:gd name="connsiteY3" fmla="*/ 1691269 h 2969012"/>
            <a:gd name="connsiteX4" fmla="*/ 450693 w 785231"/>
            <a:gd name="connsiteY4" fmla="*/ 2295291 h 2969012"/>
            <a:gd name="connsiteX5" fmla="*/ 785231 w 785231"/>
            <a:gd name="connsiteY5" fmla="*/ 2969012 h 2969012"/>
            <a:gd name="connsiteX6" fmla="*/ 4646 w 785231"/>
            <a:gd name="connsiteY6" fmla="*/ 2969012 h 2969012"/>
            <a:gd name="connsiteX7" fmla="*/ 0 w 785231"/>
            <a:gd name="connsiteY7" fmla="*/ 9293 h 2969012"/>
            <a:gd name="connsiteX0" fmla="*/ 0 w 785231"/>
            <a:gd name="connsiteY0" fmla="*/ 4624 h 2964343"/>
            <a:gd name="connsiteX1" fmla="*/ 134743 w 785231"/>
            <a:gd name="connsiteY1" fmla="*/ 0 h 2964343"/>
            <a:gd name="connsiteX2" fmla="*/ 195146 w 785231"/>
            <a:gd name="connsiteY2" fmla="*/ 859551 h 2964343"/>
            <a:gd name="connsiteX3" fmla="*/ 413523 w 785231"/>
            <a:gd name="connsiteY3" fmla="*/ 1686600 h 2964343"/>
            <a:gd name="connsiteX4" fmla="*/ 450693 w 785231"/>
            <a:gd name="connsiteY4" fmla="*/ 2290622 h 2964343"/>
            <a:gd name="connsiteX5" fmla="*/ 785231 w 785231"/>
            <a:gd name="connsiteY5" fmla="*/ 2964343 h 2964343"/>
            <a:gd name="connsiteX6" fmla="*/ 4646 w 785231"/>
            <a:gd name="connsiteY6" fmla="*/ 2964343 h 2964343"/>
            <a:gd name="connsiteX7" fmla="*/ 0 w 785231"/>
            <a:gd name="connsiteY7" fmla="*/ 4624 h 2964343"/>
            <a:gd name="connsiteX0" fmla="*/ 0 w 785231"/>
            <a:gd name="connsiteY0" fmla="*/ 4624 h 2964343"/>
            <a:gd name="connsiteX1" fmla="*/ 134743 w 785231"/>
            <a:gd name="connsiteY1" fmla="*/ 0 h 2964343"/>
            <a:gd name="connsiteX2" fmla="*/ 195146 w 785231"/>
            <a:gd name="connsiteY2" fmla="*/ 859551 h 2964343"/>
            <a:gd name="connsiteX3" fmla="*/ 413523 w 785231"/>
            <a:gd name="connsiteY3" fmla="*/ 1686600 h 2964343"/>
            <a:gd name="connsiteX4" fmla="*/ 641193 w 785231"/>
            <a:gd name="connsiteY4" fmla="*/ 2290622 h 2964343"/>
            <a:gd name="connsiteX5" fmla="*/ 785231 w 785231"/>
            <a:gd name="connsiteY5" fmla="*/ 2964343 h 2964343"/>
            <a:gd name="connsiteX6" fmla="*/ 4646 w 785231"/>
            <a:gd name="connsiteY6" fmla="*/ 2964343 h 2964343"/>
            <a:gd name="connsiteX7" fmla="*/ 0 w 785231"/>
            <a:gd name="connsiteY7" fmla="*/ 4624 h 2964343"/>
            <a:gd name="connsiteX0" fmla="*/ 0 w 785231"/>
            <a:gd name="connsiteY0" fmla="*/ 4624 h 2964343"/>
            <a:gd name="connsiteX1" fmla="*/ 134743 w 785231"/>
            <a:gd name="connsiteY1" fmla="*/ 0 h 2964343"/>
            <a:gd name="connsiteX2" fmla="*/ 195146 w 785231"/>
            <a:gd name="connsiteY2" fmla="*/ 859551 h 2964343"/>
            <a:gd name="connsiteX3" fmla="*/ 413523 w 785231"/>
            <a:gd name="connsiteY3" fmla="*/ 1686600 h 2964343"/>
            <a:gd name="connsiteX4" fmla="*/ 641193 w 785231"/>
            <a:gd name="connsiteY4" fmla="*/ 2290622 h 2964343"/>
            <a:gd name="connsiteX5" fmla="*/ 785231 w 785231"/>
            <a:gd name="connsiteY5" fmla="*/ 2964343 h 2964343"/>
            <a:gd name="connsiteX6" fmla="*/ 4646 w 785231"/>
            <a:gd name="connsiteY6" fmla="*/ 2964343 h 2964343"/>
            <a:gd name="connsiteX7" fmla="*/ 0 w 785231"/>
            <a:gd name="connsiteY7" fmla="*/ 4624 h 2964343"/>
            <a:gd name="connsiteX0" fmla="*/ 0 w 785231"/>
            <a:gd name="connsiteY0" fmla="*/ 4624 h 2964343"/>
            <a:gd name="connsiteX1" fmla="*/ 134743 w 785231"/>
            <a:gd name="connsiteY1" fmla="*/ 0 h 2964343"/>
            <a:gd name="connsiteX2" fmla="*/ 195146 w 785231"/>
            <a:gd name="connsiteY2" fmla="*/ 859551 h 2964343"/>
            <a:gd name="connsiteX3" fmla="*/ 413523 w 785231"/>
            <a:gd name="connsiteY3" fmla="*/ 1686600 h 2964343"/>
            <a:gd name="connsiteX4" fmla="*/ 678364 w 785231"/>
            <a:gd name="connsiteY4" fmla="*/ 2243939 h 2964343"/>
            <a:gd name="connsiteX5" fmla="*/ 785231 w 785231"/>
            <a:gd name="connsiteY5" fmla="*/ 2964343 h 2964343"/>
            <a:gd name="connsiteX6" fmla="*/ 4646 w 785231"/>
            <a:gd name="connsiteY6" fmla="*/ 2964343 h 2964343"/>
            <a:gd name="connsiteX7" fmla="*/ 0 w 785231"/>
            <a:gd name="connsiteY7" fmla="*/ 4624 h 2964343"/>
            <a:gd name="connsiteX0" fmla="*/ 0 w 785231"/>
            <a:gd name="connsiteY0" fmla="*/ 4624 h 2964343"/>
            <a:gd name="connsiteX1" fmla="*/ 134743 w 785231"/>
            <a:gd name="connsiteY1" fmla="*/ 0 h 2964343"/>
            <a:gd name="connsiteX2" fmla="*/ 195146 w 785231"/>
            <a:gd name="connsiteY2" fmla="*/ 859551 h 2964343"/>
            <a:gd name="connsiteX3" fmla="*/ 432108 w 785231"/>
            <a:gd name="connsiteY3" fmla="*/ 1686600 h 2964343"/>
            <a:gd name="connsiteX4" fmla="*/ 678364 w 785231"/>
            <a:gd name="connsiteY4" fmla="*/ 2243939 h 2964343"/>
            <a:gd name="connsiteX5" fmla="*/ 785231 w 785231"/>
            <a:gd name="connsiteY5" fmla="*/ 2964343 h 2964343"/>
            <a:gd name="connsiteX6" fmla="*/ 4646 w 785231"/>
            <a:gd name="connsiteY6" fmla="*/ 2964343 h 2964343"/>
            <a:gd name="connsiteX7" fmla="*/ 0 w 785231"/>
            <a:gd name="connsiteY7" fmla="*/ 4624 h 296434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85231" h="2964343">
              <a:moveTo>
                <a:pt x="0" y="4624"/>
              </a:moveTo>
              <a:lnTo>
                <a:pt x="134743" y="0"/>
              </a:lnTo>
              <a:cubicBezTo>
                <a:pt x="154103" y="212183"/>
                <a:pt x="145585" y="578451"/>
                <a:pt x="195146" y="859551"/>
              </a:cubicBezTo>
              <a:cubicBezTo>
                <a:pt x="244707" y="1140651"/>
                <a:pt x="351572" y="1455869"/>
                <a:pt x="432108" y="1686600"/>
              </a:cubicBezTo>
              <a:cubicBezTo>
                <a:pt x="512644" y="1917331"/>
                <a:pt x="619510" y="2030982"/>
                <a:pt x="678364" y="2243939"/>
              </a:cubicBezTo>
              <a:cubicBezTo>
                <a:pt x="737218" y="2456896"/>
                <a:pt x="783683" y="2579697"/>
                <a:pt x="785231" y="2964343"/>
              </a:cubicBezTo>
              <a:lnTo>
                <a:pt x="4646" y="2964343"/>
              </a:lnTo>
              <a:cubicBezTo>
                <a:pt x="3097" y="1977770"/>
                <a:pt x="1549" y="991197"/>
                <a:pt x="0" y="4624"/>
              </a:cubicBezTo>
              <a:close/>
            </a:path>
          </a:pathLst>
        </a:custGeom>
        <a:solidFill>
          <a:schemeClr val="bg1">
            <a:lumMod val="75000"/>
            <a:alpha val="40000"/>
          </a:schemeClr>
        </a:solidFill>
        <a:ln>
          <a:solidFill>
            <a:schemeClr val="tx1">
              <a:alpha val="48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marL="0" indent="0" algn="l"/>
          <a:r>
            <a:rPr lang="nl-NL" sz="900" b="1">
              <a:solidFill>
                <a:sysClr val="windowText" lastClr="000000"/>
              </a:solidFill>
              <a:latin typeface="+mn-lt"/>
              <a:ea typeface="+mn-ea"/>
              <a:cs typeface="+mn-cs"/>
            </a:rPr>
            <a:t>Disp. omlaag</a:t>
          </a:r>
        </a:p>
      </xdr:txBody>
    </xdr:sp>
    <xdr:clientData/>
  </xdr:twoCellAnchor>
  <xdr:twoCellAnchor>
    <xdr:from>
      <xdr:col>0</xdr:col>
      <xdr:colOff>29307</xdr:colOff>
      <xdr:row>16</xdr:row>
      <xdr:rowOff>36629</xdr:rowOff>
    </xdr:from>
    <xdr:to>
      <xdr:col>1</xdr:col>
      <xdr:colOff>43961</xdr:colOff>
      <xdr:row>17</xdr:row>
      <xdr:rowOff>51283</xdr:rowOff>
    </xdr:to>
    <xdr:sp macro="" textlink="">
      <xdr:nvSpPr>
        <xdr:cNvPr id="11" name="Oval 10">
          <a:extLst>
            <a:ext uri="{FF2B5EF4-FFF2-40B4-BE49-F238E27FC236}">
              <a16:creationId xmlns:a16="http://schemas.microsoft.com/office/drawing/2014/main" id="{8854C16A-A843-4CBC-AA1E-909465C218BB}"/>
            </a:ext>
          </a:extLst>
        </xdr:cNvPr>
        <xdr:cNvSpPr/>
      </xdr:nvSpPr>
      <xdr:spPr>
        <a:xfrm>
          <a:off x="29307" y="3084629"/>
          <a:ext cx="205154" cy="205154"/>
        </a:xfrm>
        <a:prstGeom prst="ellipse">
          <a:avLst/>
        </a:prstGeom>
        <a:solidFill>
          <a:schemeClr val="bg1"/>
        </a:solidFill>
        <a:ln>
          <a:solidFill>
            <a:schemeClr val="bg1">
              <a:lumMod val="65000"/>
            </a:schemeClr>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0</xdr:col>
      <xdr:colOff>27841</xdr:colOff>
      <xdr:row>32</xdr:row>
      <xdr:rowOff>5841</xdr:rowOff>
    </xdr:from>
    <xdr:to>
      <xdr:col>1</xdr:col>
      <xdr:colOff>42495</xdr:colOff>
      <xdr:row>33</xdr:row>
      <xdr:rowOff>20495</xdr:rowOff>
    </xdr:to>
    <xdr:sp macro="" textlink="">
      <xdr:nvSpPr>
        <xdr:cNvPr id="12" name="Oval 11">
          <a:extLst>
            <a:ext uri="{FF2B5EF4-FFF2-40B4-BE49-F238E27FC236}">
              <a16:creationId xmlns:a16="http://schemas.microsoft.com/office/drawing/2014/main" id="{4CD49A54-321A-4DE9-8187-7EC91D338666}"/>
            </a:ext>
          </a:extLst>
        </xdr:cNvPr>
        <xdr:cNvSpPr/>
      </xdr:nvSpPr>
      <xdr:spPr>
        <a:xfrm>
          <a:off x="27841" y="6101841"/>
          <a:ext cx="205154" cy="205154"/>
        </a:xfrm>
        <a:prstGeom prst="ellipse">
          <a:avLst/>
        </a:prstGeom>
        <a:solidFill>
          <a:schemeClr val="bg1"/>
        </a:solidFill>
        <a:ln>
          <a:solidFill>
            <a:schemeClr val="bg1">
              <a:lumMod val="65000"/>
            </a:schemeClr>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0.11046</cdr:x>
      <cdr:y>0.02201</cdr:y>
    </cdr:from>
    <cdr:to>
      <cdr:x>0.44515</cdr:x>
      <cdr:y>0.09462</cdr:y>
    </cdr:to>
    <cdr:sp macro="" textlink="">
      <cdr:nvSpPr>
        <cdr:cNvPr id="2" name="TextBox 1"/>
        <cdr:cNvSpPr txBox="1"/>
      </cdr:nvSpPr>
      <cdr:spPr>
        <a:xfrm xmlns:a="http://schemas.openxmlformats.org/drawingml/2006/main">
          <a:off x="355462" y="71071"/>
          <a:ext cx="1077058" cy="23446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GB" sz="900" b="1"/>
            <a:t>Disp.</a:t>
          </a:r>
          <a:r>
            <a:rPr lang="en-GB" sz="900" b="1" baseline="0"/>
            <a:t> vermijden</a:t>
          </a:r>
          <a:endParaRPr lang="en-GB" sz="900" b="1"/>
        </a:p>
      </cdr:txBody>
    </cdr:sp>
  </cdr:relSizeAnchor>
</c:userShapes>
</file>

<file path=xl/drawings/drawing3.xml><?xml version="1.0" encoding="utf-8"?>
<xdr:wsDr xmlns:xdr="http://schemas.openxmlformats.org/drawingml/2006/spreadsheetDrawing" xmlns:a="http://schemas.openxmlformats.org/drawingml/2006/main">
  <xdr:oneCellAnchor>
    <xdr:from>
      <xdr:col>1</xdr:col>
      <xdr:colOff>114300</xdr:colOff>
      <xdr:row>37</xdr:row>
      <xdr:rowOff>123824</xdr:rowOff>
    </xdr:from>
    <xdr:ext cx="4371975" cy="1428752"/>
    <xdr:sp macro="" textlink="">
      <xdr:nvSpPr>
        <xdr:cNvPr id="2" name="Tekstvak 1">
          <a:extLst>
            <a:ext uri="{FF2B5EF4-FFF2-40B4-BE49-F238E27FC236}">
              <a16:creationId xmlns:a16="http://schemas.microsoft.com/office/drawing/2014/main" id="{D66235C8-C208-AE1E-1B26-C3AC02CEA03A}"/>
            </a:ext>
          </a:extLst>
        </xdr:cNvPr>
        <xdr:cNvSpPr txBox="1"/>
      </xdr:nvSpPr>
      <xdr:spPr>
        <a:xfrm>
          <a:off x="895350" y="7229474"/>
          <a:ext cx="4371975" cy="1428752"/>
        </a:xfrm>
        <a:prstGeom prst="rect">
          <a:avLst/>
        </a:prstGeom>
        <a:solidFill>
          <a:schemeClr val="bg1"/>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a:t>Formulier aanpassen aan nieuw jaar:</a:t>
          </a:r>
        </a:p>
        <a:p>
          <a:r>
            <a:rPr lang="nl-NL" sz="1100"/>
            <a:t>1. Seizoen</a:t>
          </a:r>
          <a:r>
            <a:rPr lang="nl-NL" sz="1100" baseline="0"/>
            <a:t> bijwerken op 1e blad</a:t>
          </a:r>
        </a:p>
        <a:p>
          <a:r>
            <a:rPr lang="nl-NL" sz="1100" baseline="0"/>
            <a:t>2. Databereik geldige invoer datum met één jaar ophogen (zie 2).</a:t>
          </a:r>
        </a:p>
        <a:p>
          <a:r>
            <a:rPr lang="nl-NL" sz="1100" baseline="0"/>
            <a:t>3. Datumbereik geldige geboortedatum met één jaar ophogen (zie 3).</a:t>
          </a:r>
        </a:p>
        <a:p>
          <a:r>
            <a:rPr lang="nl-NL" sz="1100" baseline="0"/>
            <a:t>4. Zoekstring (kolom M): jaartal met één jaar ophogen (zie 4 - 2 keer).</a:t>
          </a:r>
        </a:p>
        <a:p>
          <a:r>
            <a:rPr lang="nl-NL" sz="1100"/>
            <a:t>5. Cel</a:t>
          </a:r>
          <a:r>
            <a:rPr lang="nl-NL" sz="1100" baseline="0"/>
            <a:t>l I5: foutmelding aanpassen (1e blad)</a:t>
          </a:r>
        </a:p>
        <a:p>
          <a:r>
            <a:rPr lang="nl-NL" sz="1100" baseline="0"/>
            <a:t>6. Cel I10: invoertekst aanpassen (1e blad)</a:t>
          </a:r>
          <a:endParaRPr lang="nl-NL" sz="1100"/>
        </a:p>
      </xdr:txBody>
    </xdr:sp>
    <xdr:clientData/>
  </xdr:oneCellAnchor>
  <xdr:oneCellAnchor>
    <xdr:from>
      <xdr:col>3</xdr:col>
      <xdr:colOff>257175</xdr:colOff>
      <xdr:row>33</xdr:row>
      <xdr:rowOff>38100</xdr:rowOff>
    </xdr:from>
    <xdr:ext cx="256160" cy="264560"/>
    <xdr:sp macro="" textlink="">
      <xdr:nvSpPr>
        <xdr:cNvPr id="3" name="Tekstvak 2">
          <a:extLst>
            <a:ext uri="{FF2B5EF4-FFF2-40B4-BE49-F238E27FC236}">
              <a16:creationId xmlns:a16="http://schemas.microsoft.com/office/drawing/2014/main" id="{BC9E2142-3835-304E-8E78-A5455C52CBFC}"/>
            </a:ext>
          </a:extLst>
        </xdr:cNvPr>
        <xdr:cNvSpPr txBox="1"/>
      </xdr:nvSpPr>
      <xdr:spPr>
        <a:xfrm>
          <a:off x="2514600" y="6381750"/>
          <a:ext cx="256160" cy="264560"/>
        </a:xfrm>
        <a:prstGeom prst="rect">
          <a:avLst/>
        </a:prstGeom>
        <a:solidFill>
          <a:schemeClr val="bg1"/>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NL" sz="1100" b="1" baseline="0">
              <a:solidFill>
                <a:schemeClr val="tx1"/>
              </a:solidFill>
            </a:rPr>
            <a:t>2</a:t>
          </a:r>
        </a:p>
      </xdr:txBody>
    </xdr:sp>
    <xdr:clientData/>
  </xdr:oneCellAnchor>
  <xdr:oneCellAnchor>
    <xdr:from>
      <xdr:col>4</xdr:col>
      <xdr:colOff>333375</xdr:colOff>
      <xdr:row>33</xdr:row>
      <xdr:rowOff>38100</xdr:rowOff>
    </xdr:from>
    <xdr:ext cx="256160" cy="264560"/>
    <xdr:sp macro="" textlink="">
      <xdr:nvSpPr>
        <xdr:cNvPr id="4" name="Tekstvak 3">
          <a:extLst>
            <a:ext uri="{FF2B5EF4-FFF2-40B4-BE49-F238E27FC236}">
              <a16:creationId xmlns:a16="http://schemas.microsoft.com/office/drawing/2014/main" id="{888E3CD8-5C3F-42A4-38CF-15E12AFBAF02}"/>
            </a:ext>
          </a:extLst>
        </xdr:cNvPr>
        <xdr:cNvSpPr txBox="1"/>
      </xdr:nvSpPr>
      <xdr:spPr>
        <a:xfrm>
          <a:off x="3305175" y="6381750"/>
          <a:ext cx="256160" cy="264560"/>
        </a:xfrm>
        <a:prstGeom prst="rect">
          <a:avLst/>
        </a:prstGeom>
        <a:solidFill>
          <a:schemeClr val="bg1"/>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NL" sz="1100" b="1" baseline="0">
              <a:solidFill>
                <a:schemeClr val="tx1"/>
              </a:solidFill>
            </a:rPr>
            <a:t>3</a:t>
          </a:r>
        </a:p>
      </xdr:txBody>
    </xdr:sp>
    <xdr:clientData/>
  </xdr:oneCellAnchor>
  <xdr:oneCellAnchor>
    <xdr:from>
      <xdr:col>10</xdr:col>
      <xdr:colOff>800100</xdr:colOff>
      <xdr:row>27</xdr:row>
      <xdr:rowOff>85725</xdr:rowOff>
    </xdr:from>
    <xdr:ext cx="1104899" cy="953466"/>
    <xdr:sp macro="" textlink="">
      <xdr:nvSpPr>
        <xdr:cNvPr id="5" name="Tekstvak 4">
          <a:extLst>
            <a:ext uri="{FF2B5EF4-FFF2-40B4-BE49-F238E27FC236}">
              <a16:creationId xmlns:a16="http://schemas.microsoft.com/office/drawing/2014/main" id="{EB480454-D883-01AC-3062-CDDA1EDD6871}"/>
            </a:ext>
          </a:extLst>
        </xdr:cNvPr>
        <xdr:cNvSpPr txBox="1"/>
      </xdr:nvSpPr>
      <xdr:spPr>
        <a:xfrm>
          <a:off x="8029575" y="5286375"/>
          <a:ext cx="1104899" cy="953466"/>
        </a:xfrm>
        <a:prstGeom prst="rect">
          <a:avLst/>
        </a:prstGeom>
        <a:solidFill>
          <a:schemeClr val="bg1"/>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1" baseline="0">
              <a:solidFill>
                <a:schemeClr val="tx1"/>
              </a:solidFill>
            </a:rPr>
            <a:t>4</a:t>
          </a:r>
          <a:br>
            <a:rPr lang="nl-NL" sz="1100" b="1" baseline="0">
              <a:solidFill>
                <a:schemeClr val="tx1"/>
              </a:solidFill>
            </a:rPr>
          </a:br>
          <a:r>
            <a:rPr lang="nl-NL" sz="1100" b="0" baseline="0">
              <a:solidFill>
                <a:schemeClr val="tx1"/>
              </a:solidFill>
            </a:rPr>
            <a:t>Jaartal met één ophogen. </a:t>
          </a:r>
          <a:br>
            <a:rPr lang="nl-NL" sz="1100" b="0" baseline="0">
              <a:solidFill>
                <a:schemeClr val="tx1"/>
              </a:solidFill>
            </a:rPr>
          </a:br>
          <a:r>
            <a:rPr lang="nl-NL" sz="1100" b="0" i="1" baseline="0">
              <a:solidFill>
                <a:schemeClr val="tx1"/>
              </a:solidFill>
            </a:rPr>
            <a:t>vb: 2010M --&gt; 2011M</a:t>
          </a:r>
          <a:endParaRPr lang="nl-NL" sz="1100" b="0" baseline="0">
            <a:solidFill>
              <a:schemeClr val="tx1"/>
            </a:solidFill>
          </a:endParaRPr>
        </a:p>
      </xdr:txBody>
    </xdr:sp>
    <xdr:clientData/>
  </xdr:oneCellAnchor>
  <xdr:oneCellAnchor>
    <xdr:from>
      <xdr:col>14</xdr:col>
      <xdr:colOff>295273</xdr:colOff>
      <xdr:row>0</xdr:row>
      <xdr:rowOff>0</xdr:rowOff>
    </xdr:from>
    <xdr:ext cx="847725" cy="0"/>
    <xdr:sp macro="" textlink="">
      <xdr:nvSpPr>
        <xdr:cNvPr id="6" name="Tekstvak 5">
          <a:extLst>
            <a:ext uri="{FF2B5EF4-FFF2-40B4-BE49-F238E27FC236}">
              <a16:creationId xmlns:a16="http://schemas.microsoft.com/office/drawing/2014/main" id="{18D14314-DD1A-5926-9E0D-EADDAFECDB3B}"/>
            </a:ext>
          </a:extLst>
        </xdr:cNvPr>
        <xdr:cNvSpPr txBox="1"/>
      </xdr:nvSpPr>
      <xdr:spPr>
        <a:xfrm>
          <a:off x="13154023" y="0"/>
          <a:ext cx="847725" cy="0"/>
        </a:xfrm>
        <a:prstGeom prst="rect">
          <a:avLst/>
        </a:prstGeom>
        <a:solidFill>
          <a:schemeClr val="bg1"/>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1" baseline="0">
              <a:solidFill>
                <a:schemeClr val="tx1"/>
              </a:solidFill>
            </a:rPr>
            <a:t>4</a:t>
          </a:r>
          <a:br>
            <a:rPr lang="nl-NL" sz="1100" b="1" baseline="0">
              <a:solidFill>
                <a:schemeClr val="tx1"/>
              </a:solidFill>
            </a:rPr>
          </a:br>
          <a:r>
            <a:rPr lang="nl-NL" sz="1100" b="0" baseline="0">
              <a:solidFill>
                <a:schemeClr val="tx1"/>
              </a:solidFill>
            </a:rPr>
            <a:t>Jaartal met één ophogen. </a:t>
          </a:r>
          <a:br>
            <a:rPr lang="nl-NL" sz="1100" b="0" baseline="0">
              <a:solidFill>
                <a:schemeClr val="tx1"/>
              </a:solidFill>
            </a:rPr>
          </a:br>
          <a:r>
            <a:rPr lang="nl-NL" sz="1100" b="0" i="1" baseline="0">
              <a:solidFill>
                <a:schemeClr val="tx1"/>
              </a:solidFill>
            </a:rPr>
            <a:t>vb: 2010M --&gt; 2011M</a:t>
          </a:r>
          <a:endParaRPr lang="nl-NL" sz="1100" b="0" baseline="0">
            <a:solidFill>
              <a:schemeClr val="tx1"/>
            </a:solidFill>
          </a:endParaRPr>
        </a:p>
      </xdr:txBody>
    </xdr:sp>
    <xdr:clientData/>
  </xdr:oneCellAnchor>
  <xdr:oneCellAnchor>
    <xdr:from>
      <xdr:col>10</xdr:col>
      <xdr:colOff>800100</xdr:colOff>
      <xdr:row>37</xdr:row>
      <xdr:rowOff>0</xdr:rowOff>
    </xdr:from>
    <xdr:ext cx="1104899" cy="953466"/>
    <xdr:sp macro="" textlink="">
      <xdr:nvSpPr>
        <xdr:cNvPr id="7" name="Tekstvak 6">
          <a:extLst>
            <a:ext uri="{FF2B5EF4-FFF2-40B4-BE49-F238E27FC236}">
              <a16:creationId xmlns:a16="http://schemas.microsoft.com/office/drawing/2014/main" id="{0D054F78-7501-ED3D-E9BD-7AB157F21F8B}"/>
            </a:ext>
          </a:extLst>
        </xdr:cNvPr>
        <xdr:cNvSpPr txBox="1"/>
      </xdr:nvSpPr>
      <xdr:spPr>
        <a:xfrm>
          <a:off x="8029575" y="7105650"/>
          <a:ext cx="1104899" cy="953466"/>
        </a:xfrm>
        <a:prstGeom prst="rect">
          <a:avLst/>
        </a:prstGeom>
        <a:solidFill>
          <a:schemeClr val="bg1"/>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1" baseline="0">
              <a:solidFill>
                <a:schemeClr val="tx1"/>
              </a:solidFill>
            </a:rPr>
            <a:t>4</a:t>
          </a:r>
          <a:br>
            <a:rPr lang="nl-NL" sz="1100" b="1" baseline="0">
              <a:solidFill>
                <a:schemeClr val="tx1"/>
              </a:solidFill>
            </a:rPr>
          </a:br>
          <a:r>
            <a:rPr lang="nl-NL" sz="1100" b="0" baseline="0">
              <a:solidFill>
                <a:schemeClr val="tx1"/>
              </a:solidFill>
            </a:rPr>
            <a:t>Jaartal met één ophogen. </a:t>
          </a:r>
          <a:br>
            <a:rPr lang="nl-NL" sz="1100" b="0" baseline="0">
              <a:solidFill>
                <a:schemeClr val="tx1"/>
              </a:solidFill>
            </a:rPr>
          </a:br>
          <a:r>
            <a:rPr lang="nl-NL" sz="1100" b="0" i="1" baseline="0">
              <a:solidFill>
                <a:schemeClr val="tx1"/>
              </a:solidFill>
            </a:rPr>
            <a:t>vb: 2009-1e --&gt; 2010-1e</a:t>
          </a:r>
          <a:endParaRPr lang="nl-NL" sz="1100" b="0" baseline="0">
            <a:solidFill>
              <a:schemeClr val="tx1"/>
            </a:solidFill>
          </a:endParaRPr>
        </a:p>
      </xdr:txBody>
    </xdr:sp>
    <xdr:clientData/>
  </xdr:one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AJ56"/>
  <sheetViews>
    <sheetView tabSelected="1" zoomScale="145" zoomScaleNormal="145" zoomScaleSheetLayoutView="100" zoomScalePageLayoutView="145" workbookViewId="0">
      <selection activeCell="I2" sqref="I2:R2"/>
    </sheetView>
  </sheetViews>
  <sheetFormatPr defaultColWidth="2.7109375" defaultRowHeight="15" x14ac:dyDescent="0.25"/>
  <cols>
    <col min="20" max="20" width="2.7109375" customWidth="1"/>
  </cols>
  <sheetData>
    <row r="1" spans="3:19" x14ac:dyDescent="0.25">
      <c r="C1" s="147" t="s">
        <v>6</v>
      </c>
      <c r="D1" s="134"/>
      <c r="E1" s="134"/>
      <c r="F1" s="134"/>
      <c r="G1" s="134"/>
      <c r="H1" s="134"/>
      <c r="I1" s="148"/>
      <c r="J1" s="148"/>
      <c r="K1" s="155" t="s">
        <v>183</v>
      </c>
      <c r="L1" s="155"/>
      <c r="M1" s="155"/>
      <c r="N1" s="155"/>
      <c r="O1" s="155"/>
      <c r="P1" s="155"/>
      <c r="Q1" s="155"/>
      <c r="R1" s="155"/>
      <c r="S1" s="133"/>
    </row>
    <row r="2" spans="3:19" x14ac:dyDescent="0.25">
      <c r="C2" s="134" t="s">
        <v>1</v>
      </c>
      <c r="D2" s="134"/>
      <c r="E2" s="134"/>
      <c r="F2" s="134"/>
      <c r="G2" s="134"/>
      <c r="H2" s="134"/>
      <c r="I2" s="171"/>
      <c r="J2" s="172"/>
      <c r="K2" s="172"/>
      <c r="L2" s="172"/>
      <c r="M2" s="172"/>
      <c r="N2" s="172"/>
      <c r="O2" s="172"/>
      <c r="P2" s="172"/>
      <c r="Q2" s="172"/>
      <c r="R2" s="173"/>
      <c r="S2" s="133"/>
    </row>
    <row r="3" spans="3:19" x14ac:dyDescent="0.25">
      <c r="C3" s="148" t="s">
        <v>5</v>
      </c>
      <c r="D3" s="134"/>
      <c r="E3" s="134"/>
      <c r="F3" s="134"/>
      <c r="G3" s="134"/>
      <c r="H3" s="134"/>
      <c r="I3" s="171"/>
      <c r="J3" s="172"/>
      <c r="K3" s="172"/>
      <c r="L3" s="172"/>
      <c r="M3" s="172"/>
      <c r="N3" s="172"/>
      <c r="O3" s="172"/>
      <c r="P3" s="172"/>
      <c r="Q3" s="172"/>
      <c r="R3" s="173"/>
      <c r="S3" s="133"/>
    </row>
    <row r="4" spans="3:19" x14ac:dyDescent="0.25">
      <c r="C4" s="148" t="s">
        <v>4</v>
      </c>
      <c r="D4" s="134"/>
      <c r="E4" s="134"/>
      <c r="F4" s="134"/>
      <c r="G4" s="134"/>
      <c r="H4" s="134"/>
      <c r="I4" s="171"/>
      <c r="J4" s="172"/>
      <c r="K4" s="172"/>
      <c r="L4" s="172"/>
      <c r="M4" s="172"/>
      <c r="N4" s="172"/>
      <c r="O4" s="172"/>
      <c r="P4" s="172"/>
      <c r="Q4" s="172"/>
      <c r="R4" s="173"/>
      <c r="S4" s="133"/>
    </row>
    <row r="5" spans="3:19" x14ac:dyDescent="0.25">
      <c r="C5" s="148" t="s">
        <v>2</v>
      </c>
      <c r="D5" s="148"/>
      <c r="E5" s="148"/>
      <c r="F5" s="148"/>
      <c r="G5" s="148"/>
      <c r="H5" s="148"/>
      <c r="I5" s="174"/>
      <c r="J5" s="175"/>
      <c r="K5" s="175"/>
      <c r="L5" s="175"/>
      <c r="M5" s="175"/>
      <c r="N5" s="175"/>
      <c r="O5" s="175"/>
      <c r="P5" s="175"/>
      <c r="Q5" s="175"/>
      <c r="R5" s="176"/>
      <c r="S5" s="133"/>
    </row>
    <row r="6" spans="3:19" x14ac:dyDescent="0.25">
      <c r="C6" s="134" t="s">
        <v>7</v>
      </c>
      <c r="D6" s="134"/>
      <c r="E6" s="134"/>
      <c r="F6" s="134"/>
      <c r="G6" s="134"/>
      <c r="H6" s="134"/>
      <c r="I6" s="171"/>
      <c r="J6" s="172"/>
      <c r="K6" s="172"/>
      <c r="L6" s="172"/>
      <c r="M6" s="172"/>
      <c r="N6" s="172"/>
      <c r="O6" s="172"/>
      <c r="P6" s="172"/>
      <c r="Q6" s="172"/>
      <c r="R6" s="173"/>
      <c r="S6" s="133"/>
    </row>
    <row r="7" spans="3:19" x14ac:dyDescent="0.25">
      <c r="C7" s="148" t="s">
        <v>181</v>
      </c>
      <c r="D7" s="134"/>
      <c r="E7" s="134"/>
      <c r="F7" s="134"/>
      <c r="G7" s="134"/>
      <c r="H7" s="134"/>
      <c r="I7" s="171"/>
      <c r="J7" s="172"/>
      <c r="K7" s="172"/>
      <c r="L7" s="172"/>
      <c r="M7" s="172"/>
      <c r="N7" s="172"/>
      <c r="O7" s="172"/>
      <c r="P7" s="172"/>
      <c r="Q7" s="172"/>
      <c r="R7" s="173"/>
      <c r="S7" s="133"/>
    </row>
    <row r="8" spans="3:19" x14ac:dyDescent="0.25">
      <c r="C8" s="148"/>
      <c r="D8" s="148"/>
      <c r="E8" s="148"/>
      <c r="F8" s="148"/>
      <c r="G8" s="148"/>
      <c r="H8" s="148"/>
      <c r="I8" s="148"/>
      <c r="J8" s="148"/>
      <c r="K8" s="148"/>
      <c r="L8" s="148"/>
      <c r="M8" s="148"/>
      <c r="N8" s="148"/>
      <c r="O8" s="148"/>
      <c r="P8" s="148"/>
      <c r="Q8" s="148"/>
      <c r="R8" s="148"/>
      <c r="S8" s="133"/>
    </row>
    <row r="9" spans="3:19" x14ac:dyDescent="0.25">
      <c r="C9" s="147" t="s">
        <v>0</v>
      </c>
      <c r="D9" s="134"/>
      <c r="E9" s="134"/>
      <c r="F9" s="134"/>
      <c r="G9" s="134"/>
      <c r="H9" s="134"/>
      <c r="I9" s="134"/>
      <c r="J9" s="134"/>
      <c r="K9" s="134"/>
      <c r="L9" s="134"/>
      <c r="M9" s="134"/>
      <c r="N9" s="134"/>
      <c r="O9" s="134"/>
      <c r="P9" s="134"/>
      <c r="Q9" s="134"/>
      <c r="R9" s="134"/>
      <c r="S9" s="133"/>
    </row>
    <row r="10" spans="3:19" x14ac:dyDescent="0.25">
      <c r="C10" s="134" t="s">
        <v>11</v>
      </c>
      <c r="D10" s="134"/>
      <c r="E10" s="134"/>
      <c r="F10" s="134"/>
      <c r="G10" s="134"/>
      <c r="H10" s="134"/>
      <c r="I10" s="174"/>
      <c r="J10" s="175"/>
      <c r="K10" s="175"/>
      <c r="L10" s="175"/>
      <c r="M10" s="175"/>
      <c r="N10" s="175"/>
      <c r="O10" s="175"/>
      <c r="P10" s="175"/>
      <c r="Q10" s="175"/>
      <c r="R10" s="176"/>
      <c r="S10" s="133"/>
    </row>
    <row r="11" spans="3:19" x14ac:dyDescent="0.25">
      <c r="C11" s="134" t="s">
        <v>59</v>
      </c>
      <c r="D11" s="134"/>
      <c r="E11" s="134"/>
      <c r="F11" s="134"/>
      <c r="G11" s="134"/>
      <c r="H11" s="134"/>
      <c r="I11" s="171"/>
      <c r="J11" s="172"/>
      <c r="K11" s="172"/>
      <c r="L11" s="172"/>
      <c r="M11" s="172"/>
      <c r="N11" s="172"/>
      <c r="O11" s="172"/>
      <c r="P11" s="172"/>
      <c r="Q11" s="172"/>
      <c r="R11" s="173"/>
      <c r="S11" s="133"/>
    </row>
    <row r="12" spans="3:19" x14ac:dyDescent="0.25">
      <c r="C12" s="134" t="s">
        <v>8</v>
      </c>
      <c r="D12" s="134"/>
      <c r="E12" s="134"/>
      <c r="F12" s="134"/>
      <c r="G12" s="134"/>
      <c r="H12" s="134"/>
      <c r="I12" s="171"/>
      <c r="J12" s="172"/>
      <c r="K12" s="172"/>
      <c r="L12" s="172"/>
      <c r="M12" s="172"/>
      <c r="N12" s="172"/>
      <c r="O12" s="172"/>
      <c r="P12" s="172"/>
      <c r="Q12" s="172"/>
      <c r="R12" s="173"/>
      <c r="S12" s="133"/>
    </row>
    <row r="13" spans="3:19" x14ac:dyDescent="0.25">
      <c r="C13" s="134" t="s">
        <v>9</v>
      </c>
      <c r="D13" s="134"/>
      <c r="E13" s="134"/>
      <c r="F13" s="134"/>
      <c r="G13" s="134"/>
      <c r="H13" s="134"/>
      <c r="I13" s="171"/>
      <c r="J13" s="172"/>
      <c r="K13" s="172"/>
      <c r="L13" s="172"/>
      <c r="M13" s="172"/>
      <c r="N13" s="172"/>
      <c r="O13" s="172"/>
      <c r="P13" s="172"/>
      <c r="Q13" s="172"/>
      <c r="R13" s="173"/>
      <c r="S13" s="133"/>
    </row>
    <row r="14" spans="3:19" ht="11.25" customHeight="1" x14ac:dyDescent="0.25">
      <c r="C14" s="134" t="s">
        <v>10</v>
      </c>
      <c r="D14" s="134"/>
      <c r="E14" s="134"/>
      <c r="F14" s="134"/>
      <c r="G14" s="134"/>
      <c r="H14" s="134"/>
      <c r="I14" s="171"/>
      <c r="J14" s="172"/>
      <c r="K14" s="172"/>
      <c r="L14" s="172"/>
      <c r="M14" s="172"/>
      <c r="N14" s="172"/>
      <c r="O14" s="172"/>
      <c r="P14" s="172"/>
      <c r="Q14" s="172"/>
      <c r="R14" s="173"/>
      <c r="S14" s="133"/>
    </row>
    <row r="15" spans="3:19" x14ac:dyDescent="0.25">
      <c r="C15" s="134"/>
      <c r="D15" s="133"/>
      <c r="E15" s="133"/>
      <c r="F15" s="133"/>
      <c r="G15" s="133"/>
      <c r="H15" s="133"/>
      <c r="I15" s="133"/>
      <c r="J15" s="133"/>
      <c r="K15" s="133"/>
      <c r="L15" s="133"/>
      <c r="M15" s="133"/>
      <c r="N15" s="133"/>
      <c r="O15" s="133"/>
      <c r="P15" s="133"/>
      <c r="Q15" s="133"/>
      <c r="R15" s="133"/>
      <c r="S15" s="133"/>
    </row>
    <row r="16" spans="3:19" x14ac:dyDescent="0.25">
      <c r="C16" s="149"/>
      <c r="D16" s="149"/>
      <c r="E16" s="149"/>
      <c r="F16" s="149"/>
      <c r="G16" s="149"/>
      <c r="H16" s="149"/>
      <c r="I16" s="149"/>
      <c r="J16" s="149"/>
      <c r="K16" s="149"/>
      <c r="L16" s="149"/>
      <c r="M16" s="149"/>
      <c r="N16" s="149"/>
      <c r="O16" s="149"/>
      <c r="P16" s="149"/>
      <c r="Q16" s="149"/>
      <c r="R16" s="149"/>
      <c r="S16" s="133"/>
    </row>
    <row r="17" spans="3:36" x14ac:dyDescent="0.25">
      <c r="C17" s="144" t="str">
        <f>CONCATENATE("Toelichting dispensatie",'DATA formulier'!L1,'DATA formulier'!L35)</f>
        <v>Toelichting dispensatie - [ // Geen 1e rij speler]</v>
      </c>
      <c r="D17" s="149"/>
      <c r="E17" s="149"/>
      <c r="F17" s="149"/>
      <c r="G17" s="149"/>
      <c r="H17" s="149"/>
      <c r="I17" s="149"/>
      <c r="J17" s="149"/>
      <c r="K17" s="149"/>
      <c r="L17" s="149"/>
      <c r="M17" s="149"/>
      <c r="N17" s="149"/>
      <c r="O17" s="149"/>
      <c r="P17" s="149"/>
      <c r="Q17" s="149"/>
      <c r="R17" s="149"/>
      <c r="S17" s="133"/>
    </row>
    <row r="18" spans="3:36" x14ac:dyDescent="0.25">
      <c r="C18" s="159"/>
      <c r="D18" s="160"/>
      <c r="E18" s="160"/>
      <c r="F18" s="160"/>
      <c r="G18" s="160"/>
      <c r="H18" s="160"/>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c r="AG18" s="160"/>
      <c r="AH18" s="160"/>
      <c r="AI18" s="160"/>
      <c r="AJ18" s="161"/>
    </row>
    <row r="19" spans="3:36" ht="15" customHeight="1" x14ac:dyDescent="0.25">
      <c r="C19" s="162"/>
      <c r="D19" s="163"/>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4"/>
    </row>
    <row r="20" spans="3:36" x14ac:dyDescent="0.25">
      <c r="C20" s="162"/>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4"/>
    </row>
    <row r="21" spans="3:36" x14ac:dyDescent="0.25">
      <c r="C21" s="162"/>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4"/>
    </row>
    <row r="22" spans="3:36" x14ac:dyDescent="0.25">
      <c r="C22" s="162"/>
      <c r="D22" s="163"/>
      <c r="E22" s="163"/>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4"/>
    </row>
    <row r="23" spans="3:36" ht="15" customHeight="1" x14ac:dyDescent="0.25">
      <c r="C23" s="165"/>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7"/>
    </row>
    <row r="24" spans="3:36" ht="15" customHeight="1" x14ac:dyDescent="0.25">
      <c r="C24" s="170" t="s">
        <v>167</v>
      </c>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row>
    <row r="25" spans="3:36" ht="15" customHeight="1" x14ac:dyDescent="0.25">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row>
    <row r="26" spans="3:36" x14ac:dyDescent="0.25">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row>
    <row r="27" spans="3:36" x14ac:dyDescent="0.25">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row>
    <row r="28" spans="3:36" x14ac:dyDescent="0.25">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row>
    <row r="29" spans="3:36" ht="15" customHeight="1" x14ac:dyDescent="0.25">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row>
    <row r="30" spans="3:36" ht="15" customHeight="1" x14ac:dyDescent="0.25">
      <c r="C30" s="169" t="s">
        <v>87</v>
      </c>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row>
    <row r="31" spans="3:36" x14ac:dyDescent="0.25">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row>
    <row r="32" spans="3:36" x14ac:dyDescent="0.25">
      <c r="C32" s="169"/>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row>
    <row r="33" spans="3:36" x14ac:dyDescent="0.25">
      <c r="C33" s="132"/>
      <c r="D33" s="132"/>
      <c r="E33" s="132"/>
      <c r="F33" s="132"/>
      <c r="G33" s="132"/>
      <c r="H33" s="132"/>
      <c r="I33" s="132"/>
      <c r="J33" s="132"/>
      <c r="K33" s="132"/>
      <c r="L33" s="132"/>
      <c r="M33" s="132"/>
      <c r="N33" s="132"/>
      <c r="O33" s="132"/>
      <c r="P33" s="132"/>
      <c r="Q33" s="132"/>
      <c r="R33" s="132"/>
      <c r="S33" s="133"/>
    </row>
    <row r="34" spans="3:36" x14ac:dyDescent="0.25">
      <c r="C34" s="132"/>
      <c r="D34" s="132"/>
      <c r="E34" s="144" t="s">
        <v>84</v>
      </c>
      <c r="F34" s="145"/>
      <c r="G34" s="145"/>
      <c r="H34" s="145"/>
      <c r="I34" s="145"/>
      <c r="J34" s="145"/>
      <c r="K34" s="145"/>
      <c r="L34" s="145"/>
      <c r="M34" s="145"/>
      <c r="N34" s="145"/>
      <c r="O34" s="145"/>
      <c r="P34" s="144" t="s">
        <v>85</v>
      </c>
      <c r="Q34" s="145"/>
      <c r="R34" s="145"/>
      <c r="S34" s="86"/>
      <c r="T34" s="86"/>
      <c r="U34" s="86"/>
      <c r="V34" s="86"/>
      <c r="W34" s="86"/>
      <c r="X34" s="86"/>
      <c r="Y34" s="86"/>
      <c r="Z34" s="86"/>
      <c r="AA34" s="146" t="s">
        <v>86</v>
      </c>
      <c r="AB34" s="86"/>
      <c r="AC34" s="86"/>
      <c r="AD34" s="86"/>
      <c r="AE34" s="86"/>
    </row>
    <row r="35" spans="3:36" x14ac:dyDescent="0.25">
      <c r="C35" s="137" t="s">
        <v>80</v>
      </c>
      <c r="D35" s="132"/>
      <c r="E35" s="171"/>
      <c r="F35" s="172"/>
      <c r="G35" s="172"/>
      <c r="H35" s="172"/>
      <c r="I35" s="172"/>
      <c r="J35" s="172"/>
      <c r="K35" s="172"/>
      <c r="L35" s="172"/>
      <c r="M35" s="172"/>
      <c r="N35" s="173"/>
      <c r="O35" s="132"/>
      <c r="P35" s="171"/>
      <c r="Q35" s="172"/>
      <c r="R35" s="172"/>
      <c r="S35" s="172"/>
      <c r="T35" s="172"/>
      <c r="U35" s="172"/>
      <c r="V35" s="172"/>
      <c r="W35" s="172"/>
      <c r="X35" s="172"/>
      <c r="Y35" s="173"/>
      <c r="AA35" s="171"/>
      <c r="AB35" s="172"/>
      <c r="AC35" s="172"/>
      <c r="AD35" s="172"/>
      <c r="AE35" s="172"/>
      <c r="AF35" s="172"/>
      <c r="AG35" s="172"/>
      <c r="AH35" s="172"/>
      <c r="AI35" s="172"/>
      <c r="AJ35" s="173"/>
    </row>
    <row r="36" spans="3:36" x14ac:dyDescent="0.25">
      <c r="C36" s="142" t="s">
        <v>83</v>
      </c>
      <c r="D36" s="132"/>
      <c r="E36" s="132"/>
      <c r="F36" s="132"/>
      <c r="G36" s="132"/>
      <c r="H36" s="133"/>
      <c r="O36" s="132"/>
      <c r="P36" s="132"/>
      <c r="Q36" s="132"/>
      <c r="R36" s="132"/>
      <c r="S36" s="133"/>
      <c r="AA36" s="171"/>
      <c r="AB36" s="172"/>
      <c r="AC36" s="172"/>
      <c r="AD36" s="172"/>
      <c r="AE36" s="172"/>
      <c r="AF36" s="172"/>
      <c r="AG36" s="172"/>
      <c r="AH36" s="172"/>
      <c r="AI36" s="172"/>
      <c r="AJ36" s="173"/>
    </row>
    <row r="37" spans="3:36" x14ac:dyDescent="0.25">
      <c r="O37" s="132"/>
      <c r="P37" s="132"/>
      <c r="Q37" s="132"/>
      <c r="R37" s="132"/>
      <c r="S37" s="133"/>
    </row>
    <row r="38" spans="3:36" x14ac:dyDescent="0.25">
      <c r="C38" s="137" t="s">
        <v>81</v>
      </c>
      <c r="D38" s="132"/>
      <c r="E38" s="171"/>
      <c r="F38" s="172"/>
      <c r="G38" s="172"/>
      <c r="H38" s="172"/>
      <c r="I38" s="172"/>
      <c r="J38" s="172"/>
      <c r="K38" s="172"/>
      <c r="L38" s="172"/>
      <c r="M38" s="172"/>
      <c r="N38" s="173"/>
      <c r="O38" s="132"/>
      <c r="P38" s="171"/>
      <c r="Q38" s="172"/>
      <c r="R38" s="172"/>
      <c r="S38" s="172"/>
      <c r="T38" s="172"/>
      <c r="U38" s="172"/>
      <c r="V38" s="172"/>
      <c r="W38" s="172"/>
      <c r="X38" s="172"/>
      <c r="Y38" s="173"/>
      <c r="AA38" s="171"/>
      <c r="AB38" s="172"/>
      <c r="AC38" s="172"/>
      <c r="AD38" s="172"/>
      <c r="AE38" s="172"/>
      <c r="AF38" s="172"/>
      <c r="AG38" s="172"/>
      <c r="AH38" s="172"/>
      <c r="AI38" s="172"/>
      <c r="AJ38" s="173"/>
    </row>
    <row r="39" spans="3:36" x14ac:dyDescent="0.25">
      <c r="C39" s="135" t="s">
        <v>82</v>
      </c>
      <c r="D39" s="132"/>
      <c r="E39" s="171"/>
      <c r="F39" s="172"/>
      <c r="G39" s="172"/>
      <c r="H39" s="172"/>
      <c r="I39" s="172"/>
      <c r="J39" s="172"/>
      <c r="K39" s="172"/>
      <c r="L39" s="172"/>
      <c r="M39" s="172"/>
      <c r="N39" s="173"/>
      <c r="O39" s="132"/>
      <c r="P39" s="171"/>
      <c r="Q39" s="172"/>
      <c r="R39" s="172"/>
      <c r="S39" s="172"/>
      <c r="T39" s="172"/>
      <c r="U39" s="172"/>
      <c r="V39" s="172"/>
      <c r="W39" s="172"/>
      <c r="X39" s="172"/>
      <c r="Y39" s="173"/>
      <c r="AA39" s="171"/>
      <c r="AB39" s="172"/>
      <c r="AC39" s="172"/>
      <c r="AD39" s="172"/>
      <c r="AE39" s="172"/>
      <c r="AF39" s="172"/>
      <c r="AG39" s="172"/>
      <c r="AH39" s="172"/>
      <c r="AI39" s="172"/>
      <c r="AJ39" s="173"/>
    </row>
    <row r="40" spans="3:36" x14ac:dyDescent="0.25">
      <c r="C40" s="132"/>
      <c r="D40" s="132"/>
      <c r="E40" s="132"/>
      <c r="F40" s="132"/>
      <c r="G40" s="132"/>
      <c r="H40" s="132"/>
      <c r="I40" s="132"/>
      <c r="J40" s="132"/>
      <c r="K40" s="132"/>
      <c r="L40" s="132"/>
      <c r="M40" s="132"/>
      <c r="N40" s="132"/>
      <c r="O40" s="132"/>
      <c r="P40" s="132"/>
      <c r="Q40" s="132"/>
      <c r="R40" s="132"/>
      <c r="S40" s="133"/>
    </row>
    <row r="41" spans="3:36" x14ac:dyDescent="0.25">
      <c r="E41" s="177" t="s">
        <v>79</v>
      </c>
      <c r="F41" s="178"/>
      <c r="G41" s="178"/>
      <c r="H41" s="178"/>
      <c r="I41" s="178"/>
      <c r="J41" s="178"/>
      <c r="K41" s="178"/>
      <c r="L41" s="178"/>
      <c r="M41" s="178"/>
      <c r="N41" s="179"/>
      <c r="P41" s="177" t="s">
        <v>79</v>
      </c>
      <c r="Q41" s="178"/>
      <c r="R41" s="178"/>
      <c r="S41" s="178"/>
      <c r="T41" s="178"/>
      <c r="U41" s="178"/>
      <c r="V41" s="178"/>
      <c r="W41" s="178"/>
      <c r="X41" s="178"/>
      <c r="Y41" s="179"/>
      <c r="Z41" s="143"/>
      <c r="AA41" s="177" t="s">
        <v>79</v>
      </c>
      <c r="AB41" s="178"/>
      <c r="AC41" s="178"/>
      <c r="AD41" s="178"/>
      <c r="AE41" s="178"/>
      <c r="AF41" s="178"/>
      <c r="AG41" s="178"/>
      <c r="AH41" s="178"/>
      <c r="AI41" s="178"/>
      <c r="AJ41" s="179"/>
    </row>
    <row r="42" spans="3:36" x14ac:dyDescent="0.25">
      <c r="E42" s="180"/>
      <c r="F42" s="181"/>
      <c r="G42" s="181"/>
      <c r="H42" s="181"/>
      <c r="I42" s="181"/>
      <c r="J42" s="181"/>
      <c r="K42" s="181"/>
      <c r="L42" s="181"/>
      <c r="M42" s="181"/>
      <c r="N42" s="182"/>
      <c r="P42" s="180"/>
      <c r="Q42" s="181"/>
      <c r="R42" s="181"/>
      <c r="S42" s="181"/>
      <c r="T42" s="181"/>
      <c r="U42" s="181"/>
      <c r="V42" s="181"/>
      <c r="W42" s="181"/>
      <c r="X42" s="181"/>
      <c r="Y42" s="182"/>
      <c r="AA42" s="180"/>
      <c r="AB42" s="181"/>
      <c r="AC42" s="181"/>
      <c r="AD42" s="181"/>
      <c r="AE42" s="181"/>
      <c r="AF42" s="181"/>
      <c r="AG42" s="181"/>
      <c r="AH42" s="181"/>
      <c r="AI42" s="181"/>
      <c r="AJ42" s="182"/>
    </row>
    <row r="43" spans="3:36" x14ac:dyDescent="0.25">
      <c r="E43" s="183"/>
      <c r="F43" s="184"/>
      <c r="G43" s="184"/>
      <c r="H43" s="184"/>
      <c r="I43" s="184"/>
      <c r="J43" s="184"/>
      <c r="K43" s="184"/>
      <c r="L43" s="184"/>
      <c r="M43" s="184"/>
      <c r="N43" s="185"/>
      <c r="P43" s="183"/>
      <c r="Q43" s="184"/>
      <c r="R43" s="184"/>
      <c r="S43" s="184"/>
      <c r="T43" s="184"/>
      <c r="U43" s="184"/>
      <c r="V43" s="184"/>
      <c r="W43" s="184"/>
      <c r="X43" s="184"/>
      <c r="Y43" s="185"/>
      <c r="AA43" s="183"/>
      <c r="AB43" s="184"/>
      <c r="AC43" s="184"/>
      <c r="AD43" s="184"/>
      <c r="AE43" s="184"/>
      <c r="AF43" s="184"/>
      <c r="AG43" s="184"/>
      <c r="AH43" s="184"/>
      <c r="AI43" s="184"/>
      <c r="AJ43" s="185"/>
    </row>
    <row r="44" spans="3:36" x14ac:dyDescent="0.25">
      <c r="C44" s="132"/>
      <c r="D44" s="132"/>
      <c r="E44" s="132"/>
      <c r="F44" s="132"/>
      <c r="G44" s="132"/>
      <c r="H44" s="132"/>
      <c r="I44" s="132"/>
      <c r="J44" s="132"/>
      <c r="K44" s="132"/>
      <c r="L44" s="132"/>
      <c r="M44" s="132"/>
      <c r="N44" s="132"/>
      <c r="O44" s="132"/>
      <c r="P44" s="132"/>
      <c r="Q44" s="132"/>
      <c r="R44" s="132"/>
      <c r="S44" s="133"/>
    </row>
    <row r="45" spans="3:36" ht="11.1" customHeight="1" x14ac:dyDescent="0.25">
      <c r="C45" s="138" t="s">
        <v>160</v>
      </c>
      <c r="D45" s="139"/>
      <c r="E45" s="139"/>
      <c r="F45" s="139"/>
      <c r="G45" s="139"/>
      <c r="H45" s="139"/>
      <c r="I45" s="139"/>
      <c r="J45" s="139"/>
      <c r="K45" s="139"/>
      <c r="L45" s="139"/>
      <c r="M45" s="139"/>
      <c r="N45" s="139"/>
      <c r="O45" s="139"/>
      <c r="P45" s="139"/>
      <c r="Q45" s="139"/>
      <c r="R45" s="139"/>
      <c r="S45" s="139"/>
      <c r="T45" s="197" t="str">
        <f>CONCATENATE("Norm voor ", IF(I11="Man", "jongen van ","meisje van "),FIXED(I46,1)," jaar:")</f>
        <v>Norm voor meisje van 0,0 jaar:</v>
      </c>
      <c r="U45" s="197"/>
      <c r="V45" s="197"/>
      <c r="W45" s="197"/>
      <c r="X45" s="197"/>
      <c r="Y45" s="197"/>
      <c r="Z45" s="197"/>
      <c r="AA45" s="197"/>
      <c r="AB45" s="197"/>
      <c r="AC45" s="197"/>
      <c r="AD45" s="197"/>
      <c r="AE45" s="197"/>
      <c r="AF45" s="197"/>
      <c r="AG45" s="197"/>
      <c r="AH45" s="197"/>
      <c r="AI45" s="197"/>
      <c r="AJ45" s="198"/>
    </row>
    <row r="46" spans="3:36" ht="11.1" customHeight="1" x14ac:dyDescent="0.25">
      <c r="C46" s="140" t="s">
        <v>61</v>
      </c>
      <c r="D46" s="135"/>
      <c r="E46" s="135"/>
      <c r="F46" s="135"/>
      <c r="G46" s="135"/>
      <c r="H46" s="135"/>
      <c r="I46" s="168">
        <f>(I5-I10)/365.25</f>
        <v>0</v>
      </c>
      <c r="J46" s="168"/>
      <c r="K46" s="168"/>
      <c r="L46" s="168"/>
      <c r="M46" s="136"/>
      <c r="N46" s="136"/>
      <c r="O46" s="136"/>
      <c r="P46" s="136"/>
      <c r="Q46" s="136"/>
      <c r="R46" s="136"/>
      <c r="S46" s="106"/>
      <c r="T46" s="192" t="s">
        <v>12</v>
      </c>
      <c r="U46" s="192"/>
      <c r="V46" s="193" t="s">
        <v>49</v>
      </c>
      <c r="W46" s="193"/>
      <c r="X46" s="156" t="s">
        <v>90</v>
      </c>
      <c r="Y46" s="156"/>
      <c r="Z46" s="104"/>
      <c r="AA46" s="104"/>
      <c r="AB46" s="104"/>
      <c r="AC46" s="150"/>
      <c r="AD46" s="104"/>
      <c r="AE46" s="104"/>
      <c r="AF46" s="104"/>
      <c r="AG46" s="156" t="s">
        <v>13</v>
      </c>
      <c r="AH46" s="156"/>
      <c r="AI46" s="157" t="s">
        <v>78</v>
      </c>
      <c r="AJ46" s="158"/>
    </row>
    <row r="47" spans="3:36" ht="11.1" customHeight="1" x14ac:dyDescent="0.25">
      <c r="C47" s="140" t="s">
        <v>60</v>
      </c>
      <c r="D47" s="135"/>
      <c r="E47" s="135"/>
      <c r="F47" s="135"/>
      <c r="G47" s="135"/>
      <c r="H47" s="135"/>
      <c r="I47" s="191">
        <f>I14/100</f>
        <v>0</v>
      </c>
      <c r="J47" s="191"/>
      <c r="K47" s="168" t="e">
        <f>CONCATENATE("(",FIXED('DATA formulier'!A8,1),")")</f>
        <v>#N/A</v>
      </c>
      <c r="L47" s="168"/>
      <c r="M47" s="135"/>
      <c r="N47" s="135"/>
      <c r="O47" s="135"/>
      <c r="P47" s="135"/>
      <c r="Q47" s="135"/>
      <c r="R47" s="135"/>
      <c r="S47" s="106"/>
      <c r="T47" s="195">
        <v>2.5</v>
      </c>
      <c r="U47" s="195"/>
      <c r="V47" s="195">
        <v>99.4</v>
      </c>
      <c r="W47" s="195"/>
      <c r="X47" s="194" t="e">
        <f>IF($I$11="Man",'DATA formulier'!B12,'DATA formulier'!C12)</f>
        <v>#N/A</v>
      </c>
      <c r="Y47" s="194"/>
      <c r="Z47" s="106"/>
      <c r="AA47" s="131">
        <v>2</v>
      </c>
      <c r="AB47" s="106" t="s">
        <v>56</v>
      </c>
      <c r="AD47" s="106"/>
      <c r="AE47" s="106"/>
      <c r="AF47" s="106"/>
      <c r="AG47" s="195" t="e">
        <f>IF($I$11="Man",'DATA formulier'!B23,'DATA formulier'!C23)</f>
        <v>#N/A</v>
      </c>
      <c r="AH47" s="195"/>
      <c r="AI47" s="195" t="e">
        <f>AG47*($I$47*$I$47)</f>
        <v>#N/A</v>
      </c>
      <c r="AJ47" s="196"/>
    </row>
    <row r="48" spans="3:36" ht="11.1" customHeight="1" x14ac:dyDescent="0.25">
      <c r="C48" s="140" t="s">
        <v>69</v>
      </c>
      <c r="D48" s="135"/>
      <c r="E48" s="135"/>
      <c r="F48" s="135"/>
      <c r="G48" s="135"/>
      <c r="H48" s="135"/>
      <c r="I48" s="168" t="e">
        <f>I13/(I47*I47)</f>
        <v>#DIV/0!</v>
      </c>
      <c r="J48" s="168"/>
      <c r="K48" s="168" t="e">
        <f>CONCATENATE("(",FIXED('DATA formulier'!B8,1),")")</f>
        <v>#DIV/0!</v>
      </c>
      <c r="L48" s="168"/>
      <c r="M48" s="136"/>
      <c r="N48" s="136"/>
      <c r="O48" s="136"/>
      <c r="P48" s="136"/>
      <c r="Q48" s="136"/>
      <c r="R48" s="136"/>
      <c r="S48" s="106"/>
      <c r="T48" s="195">
        <v>2</v>
      </c>
      <c r="U48" s="195"/>
      <c r="V48" s="195">
        <v>98</v>
      </c>
      <c r="W48" s="195"/>
      <c r="X48" s="194" t="e">
        <f>IF($I$11="Man",'DATA formulier'!B13,'DATA formulier'!C13)</f>
        <v>#N/A</v>
      </c>
      <c r="Y48" s="194"/>
      <c r="Z48" s="106"/>
      <c r="AA48" s="131">
        <v>1</v>
      </c>
      <c r="AB48" s="106" t="s">
        <v>55</v>
      </c>
      <c r="AD48" s="106"/>
      <c r="AE48" s="106"/>
      <c r="AF48" s="106"/>
      <c r="AG48" s="195" t="e">
        <f>IF($I$11="Man",'DATA formulier'!B24,'DATA formulier'!C24)</f>
        <v>#N/A</v>
      </c>
      <c r="AH48" s="195"/>
      <c r="AI48" s="195" t="e">
        <f t="shared" ref="AI48:AI51" si="0">AG48*($I$47*$I$47)</f>
        <v>#N/A</v>
      </c>
      <c r="AJ48" s="196"/>
    </row>
    <row r="49" spans="3:36" ht="11.1" customHeight="1" x14ac:dyDescent="0.25">
      <c r="C49" s="186" t="s">
        <v>168</v>
      </c>
      <c r="D49" s="187"/>
      <c r="E49" s="187"/>
      <c r="F49" s="187"/>
      <c r="G49" s="187"/>
      <c r="H49" s="187"/>
      <c r="I49" s="187"/>
      <c r="J49" s="187"/>
      <c r="K49" s="187"/>
      <c r="L49" s="187"/>
      <c r="M49" s="187"/>
      <c r="N49" s="187"/>
      <c r="O49" s="187"/>
      <c r="P49" s="187"/>
      <c r="Q49" s="187"/>
      <c r="R49" s="187"/>
      <c r="S49" s="106"/>
      <c r="T49" s="195">
        <v>1</v>
      </c>
      <c r="U49" s="195"/>
      <c r="V49" s="195">
        <v>84</v>
      </c>
      <c r="W49" s="195"/>
      <c r="X49" s="194" t="e">
        <f>IF($I$11="Man",'DATA formulier'!B14,'DATA formulier'!C14)</f>
        <v>#N/A</v>
      </c>
      <c r="Y49" s="194"/>
      <c r="Z49" s="106"/>
      <c r="AA49" s="131">
        <v>0</v>
      </c>
      <c r="AB49" s="106" t="s">
        <v>68</v>
      </c>
      <c r="AD49" s="106"/>
      <c r="AE49" s="106"/>
      <c r="AF49" s="106"/>
      <c r="AG49" s="195" t="e">
        <f>IF($I$11="Man",'DATA formulier'!B25,'DATA formulier'!C25)</f>
        <v>#N/A</v>
      </c>
      <c r="AH49" s="195"/>
      <c r="AI49" s="195" t="e">
        <f t="shared" si="0"/>
        <v>#N/A</v>
      </c>
      <c r="AJ49" s="196"/>
    </row>
    <row r="50" spans="3:36" ht="11.1" customHeight="1" x14ac:dyDescent="0.25">
      <c r="C50" s="188"/>
      <c r="D50" s="187"/>
      <c r="E50" s="187"/>
      <c r="F50" s="187"/>
      <c r="G50" s="187"/>
      <c r="H50" s="187"/>
      <c r="I50" s="187"/>
      <c r="J50" s="187"/>
      <c r="K50" s="187"/>
      <c r="L50" s="187"/>
      <c r="M50" s="187"/>
      <c r="N50" s="187"/>
      <c r="O50" s="187"/>
      <c r="P50" s="187"/>
      <c r="Q50" s="187"/>
      <c r="R50" s="187"/>
      <c r="S50" s="106"/>
      <c r="T50" s="195">
        <v>0</v>
      </c>
      <c r="U50" s="195"/>
      <c r="V50" s="195">
        <v>50</v>
      </c>
      <c r="W50" s="195"/>
      <c r="X50" s="194" t="e">
        <f>IF($I$11="Man",'DATA formulier'!B15,'DATA formulier'!C15)</f>
        <v>#N/A</v>
      </c>
      <c r="Y50" s="194"/>
      <c r="Z50" s="106"/>
      <c r="AA50" s="131">
        <v>-1</v>
      </c>
      <c r="AB50" s="106" t="s">
        <v>53</v>
      </c>
      <c r="AD50" s="106"/>
      <c r="AE50" s="106"/>
      <c r="AF50" s="106"/>
      <c r="AG50" s="195" t="e">
        <f>IF($I$11="Man",'DATA formulier'!B26,'DATA formulier'!C26)</f>
        <v>#N/A</v>
      </c>
      <c r="AH50" s="195"/>
      <c r="AI50" s="195" t="e">
        <f t="shared" si="0"/>
        <v>#N/A</v>
      </c>
      <c r="AJ50" s="196"/>
    </row>
    <row r="51" spans="3:36" ht="11.1" customHeight="1" x14ac:dyDescent="0.25">
      <c r="C51" s="188"/>
      <c r="D51" s="187"/>
      <c r="E51" s="187"/>
      <c r="F51" s="187"/>
      <c r="G51" s="187"/>
      <c r="H51" s="187"/>
      <c r="I51" s="187"/>
      <c r="J51" s="187"/>
      <c r="K51" s="187"/>
      <c r="L51" s="187"/>
      <c r="M51" s="187"/>
      <c r="N51" s="187"/>
      <c r="O51" s="187"/>
      <c r="P51" s="187"/>
      <c r="Q51" s="187"/>
      <c r="R51" s="187"/>
      <c r="S51" s="106"/>
      <c r="T51" s="195">
        <v>-1</v>
      </c>
      <c r="U51" s="195"/>
      <c r="V51" s="195">
        <v>16</v>
      </c>
      <c r="W51" s="195"/>
      <c r="X51" s="194" t="e">
        <f>IF($I$11="Man",'DATA formulier'!B16,'DATA formulier'!C16)</f>
        <v>#N/A</v>
      </c>
      <c r="Y51" s="194"/>
      <c r="Z51" s="106"/>
      <c r="AA51" s="131">
        <v>-2</v>
      </c>
      <c r="AB51" s="106" t="s">
        <v>52</v>
      </c>
      <c r="AD51" s="106"/>
      <c r="AE51" s="106"/>
      <c r="AF51" s="106"/>
      <c r="AG51" s="195" t="e">
        <f>IF($I$11="Man",'DATA formulier'!B27,'DATA formulier'!C27)</f>
        <v>#N/A</v>
      </c>
      <c r="AH51" s="195"/>
      <c r="AI51" s="195" t="e">
        <f t="shared" si="0"/>
        <v>#N/A</v>
      </c>
      <c r="AJ51" s="196"/>
    </row>
    <row r="52" spans="3:36" ht="11.1" customHeight="1" x14ac:dyDescent="0.25">
      <c r="C52" s="188"/>
      <c r="D52" s="187"/>
      <c r="E52" s="187"/>
      <c r="F52" s="187"/>
      <c r="G52" s="187"/>
      <c r="H52" s="187"/>
      <c r="I52" s="187"/>
      <c r="J52" s="187"/>
      <c r="K52" s="187"/>
      <c r="L52" s="187"/>
      <c r="M52" s="187"/>
      <c r="N52" s="187"/>
      <c r="O52" s="187"/>
      <c r="P52" s="187"/>
      <c r="Q52" s="187"/>
      <c r="R52" s="187"/>
      <c r="S52" s="106"/>
      <c r="T52" s="195">
        <v>-2</v>
      </c>
      <c r="U52" s="195"/>
      <c r="V52" s="195">
        <v>2</v>
      </c>
      <c r="W52" s="195"/>
      <c r="X52" s="194" t="e">
        <f>IF($I$11="Man",'DATA formulier'!B17,'DATA formulier'!C17)</f>
        <v>#N/A</v>
      </c>
      <c r="Y52" s="194"/>
      <c r="Z52" s="106"/>
      <c r="AA52" s="107"/>
      <c r="AB52" s="106"/>
      <c r="AC52" s="106"/>
      <c r="AD52" s="106"/>
      <c r="AE52" s="106"/>
      <c r="AF52" s="106"/>
      <c r="AG52" s="106"/>
      <c r="AH52" s="199"/>
      <c r="AI52" s="199"/>
      <c r="AJ52" s="105"/>
    </row>
    <row r="53" spans="3:36" ht="11.1" customHeight="1" x14ac:dyDescent="0.25">
      <c r="C53" s="188"/>
      <c r="D53" s="187"/>
      <c r="E53" s="187"/>
      <c r="F53" s="187"/>
      <c r="G53" s="187"/>
      <c r="H53" s="187"/>
      <c r="I53" s="187"/>
      <c r="J53" s="187"/>
      <c r="K53" s="187"/>
      <c r="L53" s="187"/>
      <c r="M53" s="187"/>
      <c r="N53" s="187"/>
      <c r="O53" s="187"/>
      <c r="P53" s="187"/>
      <c r="Q53" s="187"/>
      <c r="R53" s="187"/>
      <c r="S53" s="106"/>
      <c r="T53" s="195">
        <v>-2.5</v>
      </c>
      <c r="U53" s="195"/>
      <c r="V53" s="195">
        <v>0.6</v>
      </c>
      <c r="W53" s="195"/>
      <c r="X53" s="194" t="e">
        <f>IF($I$11="Man",'DATA formulier'!B18,'DATA formulier'!C18)</f>
        <v>#N/A</v>
      </c>
      <c r="Y53" s="194"/>
      <c r="Z53" s="106"/>
      <c r="AA53" s="106"/>
      <c r="AB53" s="106"/>
      <c r="AC53" s="106"/>
      <c r="AD53" s="106"/>
      <c r="AE53" s="106"/>
      <c r="AF53" s="106"/>
      <c r="AG53" s="106"/>
      <c r="AH53" s="106"/>
      <c r="AI53" s="106"/>
      <c r="AJ53" s="105"/>
    </row>
    <row r="54" spans="3:36" ht="11.1" customHeight="1" x14ac:dyDescent="0.25">
      <c r="C54" s="188"/>
      <c r="D54" s="187"/>
      <c r="E54" s="187"/>
      <c r="F54" s="187"/>
      <c r="G54" s="187"/>
      <c r="H54" s="187"/>
      <c r="I54" s="187"/>
      <c r="J54" s="187"/>
      <c r="K54" s="187"/>
      <c r="L54" s="187"/>
      <c r="M54" s="187"/>
      <c r="N54" s="187"/>
      <c r="O54" s="187"/>
      <c r="P54" s="187"/>
      <c r="Q54" s="187"/>
      <c r="R54" s="187"/>
      <c r="S54" s="106"/>
      <c r="T54" s="195">
        <v>-3</v>
      </c>
      <c r="U54" s="195"/>
      <c r="V54" s="195">
        <v>0.1</v>
      </c>
      <c r="W54" s="195"/>
      <c r="X54" s="194" t="e">
        <f>IF($I$11="Man",'DATA formulier'!B19,'DATA formulier'!C19)</f>
        <v>#N/A</v>
      </c>
      <c r="Y54" s="194"/>
      <c r="Z54" s="106"/>
      <c r="AA54" s="106"/>
      <c r="AB54" s="106"/>
      <c r="AC54" s="106"/>
      <c r="AD54" s="106"/>
      <c r="AE54" s="106"/>
      <c r="AF54" s="106"/>
      <c r="AG54" s="106"/>
      <c r="AH54" s="106"/>
      <c r="AI54" s="106"/>
      <c r="AJ54" s="105"/>
    </row>
    <row r="55" spans="3:36" ht="11.1" customHeight="1" x14ac:dyDescent="0.25">
      <c r="C55" s="189"/>
      <c r="D55" s="190"/>
      <c r="E55" s="190"/>
      <c r="F55" s="190"/>
      <c r="G55" s="190"/>
      <c r="H55" s="190"/>
      <c r="I55" s="190"/>
      <c r="J55" s="190"/>
      <c r="K55" s="190"/>
      <c r="L55" s="190"/>
      <c r="M55" s="190"/>
      <c r="N55" s="190"/>
      <c r="O55" s="190"/>
      <c r="P55" s="190"/>
      <c r="Q55" s="190"/>
      <c r="R55" s="190"/>
      <c r="S55" s="108"/>
      <c r="T55" s="141"/>
      <c r="U55" s="141"/>
      <c r="V55" s="141"/>
      <c r="W55" s="141"/>
      <c r="X55" s="141"/>
      <c r="Y55" s="141"/>
      <c r="Z55" s="108"/>
      <c r="AA55" s="108"/>
      <c r="AB55" s="108"/>
      <c r="AC55" s="108"/>
      <c r="AD55" s="108"/>
      <c r="AE55" s="108"/>
      <c r="AF55" s="108"/>
      <c r="AG55" s="108"/>
      <c r="AH55" s="108"/>
      <c r="AI55" s="108"/>
      <c r="AJ55" s="109"/>
    </row>
    <row r="56" spans="3:36" x14ac:dyDescent="0.25">
      <c r="T56" s="154"/>
      <c r="U56" s="154"/>
      <c r="V56" s="154"/>
      <c r="W56" s="154"/>
      <c r="X56" s="154"/>
      <c r="Y56" s="154"/>
      <c r="Z56" s="86"/>
      <c r="AA56" s="86"/>
      <c r="AB56" s="86"/>
      <c r="AC56" s="86"/>
      <c r="AD56" s="86"/>
      <c r="AE56" s="86"/>
      <c r="AF56" s="86"/>
      <c r="AG56" s="86"/>
      <c r="AH56" s="86"/>
      <c r="AI56" s="86"/>
      <c r="AJ56" s="86"/>
    </row>
  </sheetData>
  <sheetProtection algorithmName="SHA-512" hashValue="zOhvocIDQDE0VFXfLPddEk6dyK0ZrjsRdC4186MrAf8WvqDX0gvO0HYU7WYaNgwEQTC+7lC8Tfxt4hCRHsk0Qg==" saltValue="KY5NU/viWJr2JvQD5hFgGw==" spinCount="100000" sheet="1" objects="1" scenarios="1"/>
  <mergeCells count="76">
    <mergeCell ref="T54:U54"/>
    <mergeCell ref="V53:W53"/>
    <mergeCell ref="T52:U52"/>
    <mergeCell ref="T53:U53"/>
    <mergeCell ref="T45:AJ45"/>
    <mergeCell ref="AH52:AI52"/>
    <mergeCell ref="T47:U47"/>
    <mergeCell ref="V47:W47"/>
    <mergeCell ref="X47:Y47"/>
    <mergeCell ref="AG47:AH47"/>
    <mergeCell ref="AG48:AH48"/>
    <mergeCell ref="AG49:AH49"/>
    <mergeCell ref="AG50:AH50"/>
    <mergeCell ref="AG51:AH51"/>
    <mergeCell ref="AI47:AJ47"/>
    <mergeCell ref="AI48:AJ48"/>
    <mergeCell ref="V52:W52"/>
    <mergeCell ref="X50:Y50"/>
    <mergeCell ref="X51:Y51"/>
    <mergeCell ref="X52:Y52"/>
    <mergeCell ref="X53:Y53"/>
    <mergeCell ref="AI49:AJ49"/>
    <mergeCell ref="AI50:AJ50"/>
    <mergeCell ref="AI51:AJ51"/>
    <mergeCell ref="T48:U48"/>
    <mergeCell ref="T49:U49"/>
    <mergeCell ref="T50:U50"/>
    <mergeCell ref="T51:U51"/>
    <mergeCell ref="V48:W48"/>
    <mergeCell ref="V49:W49"/>
    <mergeCell ref="V50:W50"/>
    <mergeCell ref="V51:W51"/>
    <mergeCell ref="X48:Y48"/>
    <mergeCell ref="X49:Y49"/>
    <mergeCell ref="K48:L48"/>
    <mergeCell ref="I7:R7"/>
    <mergeCell ref="C49:R55"/>
    <mergeCell ref="I46:J46"/>
    <mergeCell ref="I47:J47"/>
    <mergeCell ref="I48:J48"/>
    <mergeCell ref="I13:R13"/>
    <mergeCell ref="I10:R10"/>
    <mergeCell ref="I11:R11"/>
    <mergeCell ref="I12:R12"/>
    <mergeCell ref="P39:Y39"/>
    <mergeCell ref="X46:Y46"/>
    <mergeCell ref="T46:U46"/>
    <mergeCell ref="V46:W46"/>
    <mergeCell ref="X54:Y54"/>
    <mergeCell ref="V54:W54"/>
    <mergeCell ref="K47:L47"/>
    <mergeCell ref="E35:N35"/>
    <mergeCell ref="E41:N43"/>
    <mergeCell ref="P41:Y43"/>
    <mergeCell ref="AA41:AJ43"/>
    <mergeCell ref="E38:N38"/>
    <mergeCell ref="E39:N39"/>
    <mergeCell ref="P35:Y35"/>
    <mergeCell ref="P38:Y38"/>
    <mergeCell ref="AA38:AJ38"/>
    <mergeCell ref="AA39:AJ39"/>
    <mergeCell ref="AA35:AJ35"/>
    <mergeCell ref="AA36:AJ36"/>
    <mergeCell ref="K1:R1"/>
    <mergeCell ref="AG46:AH46"/>
    <mergeCell ref="AI46:AJ46"/>
    <mergeCell ref="C18:AJ23"/>
    <mergeCell ref="K46:L46"/>
    <mergeCell ref="C30:AJ32"/>
    <mergeCell ref="C24:AJ29"/>
    <mergeCell ref="I14:R14"/>
    <mergeCell ref="I2:R2"/>
    <mergeCell ref="I4:R4"/>
    <mergeCell ref="I3:R3"/>
    <mergeCell ref="I5:R5"/>
    <mergeCell ref="I6:R6"/>
  </mergeCells>
  <dataValidations xWindow="374" yWindow="563" count="2">
    <dataValidation type="decimal" allowBlank="1" showErrorMessage="1" errorTitle="Lengte" error="Lengte niet in centimeters_x000a_" promptTitle="Lengte" prompt="Let op! Vul hier de lengte in centimeters in." sqref="I14:R14" xr:uid="{00000000-0002-0000-0000-000000000000}">
      <formula1>50</formula1>
      <formula2>250</formula2>
    </dataValidation>
    <dataValidation type="decimal" allowBlank="1" showErrorMessage="1" errorTitle="Gewicht" error="Vul in: gewicht in kg " sqref="I13:R13" xr:uid="{00000000-0002-0000-0000-000001000000}">
      <formula1>0</formula1>
      <formula2>250</formula2>
    </dataValidation>
  </dataValidations>
  <pageMargins left="0.23622047244094491" right="0.23622047244094491" top="0.94488188976377963" bottom="0.15748031496062992" header="0.39370078740157483" footer="0.11811023622047245"/>
  <pageSetup paperSize="9" orientation="portrait" r:id="rId1"/>
  <headerFooter>
    <oddHeader>&amp;L&amp;14VERKLARING DISPENSATIE&amp;C&amp;14SEIZOEN 2026 - 2027&amp;R&amp;14RUGBY NEDERLAND</oddHeader>
  </headerFooter>
  <drawing r:id="rId2"/>
  <extLst>
    <ext xmlns:x14="http://schemas.microsoft.com/office/spreadsheetml/2009/9/main" uri="{CCE6A557-97BC-4b89-ADB6-D9C93CAAB3DF}">
      <x14:dataValidations xmlns:xm="http://schemas.microsoft.com/office/excel/2006/main" xWindow="374" yWindow="563" count="5">
        <x14:dataValidation type="list" allowBlank="1" showErrorMessage="1" errorTitle="Dispensatie omhoog/omlaag" error="Vul in: omhoog of omlaag." promptTitle="Dispensatie omhoog/omlaag?" prompt="Vul in: omhoog of omlaag" xr:uid="{00000000-0002-0000-0000-000002000000}">
          <x14:formula1>
            <xm:f>'DATA formulier'!$A$32:$A$33</xm:f>
          </x14:formula1>
          <xm:sqref>I6:R6</xm:sqref>
        </x14:dataValidation>
        <x14:dataValidation type="list" allowBlank="1" showInputMessage="1" showErrorMessage="1" errorTitle="Aanvraag tevens voor 1e rij?" error="Vul in: ja of nee." promptTitle="1e rij speler?" prompt="Let op! Gedispenseerde spelers mogen niet op de 1e rij spelen. Dit is geen reden om 1e rij spelers die niet veilig in de eigen categorie kunnen uitkomen dispensatie te onthouden. Deze spelers spelen na dispensatie tijdelijkop een andere positie." xr:uid="{00000000-0002-0000-0000-000003000000}">
          <x14:formula1>
            <xm:f>'DATA formulier'!$B$32:$B$33</xm:f>
          </x14:formula1>
          <xm:sqref>I7:R7</xm:sqref>
        </x14:dataValidation>
        <x14:dataValidation type="list" allowBlank="1" showErrorMessage="1" errorTitle="Geslacht speler" error="Vul in: man of vrouw." promptTitle="Geslacht" prompt="Vul in: man of vrouw_x000a_" xr:uid="{00000000-0002-0000-0000-000004000000}">
          <x14:formula1>
            <xm:f>'DATA formulier'!$C$32:$C$33</xm:f>
          </x14:formula1>
          <xm:sqref>I11:R11</xm:sqref>
        </x14:dataValidation>
        <x14:dataValidation type="date" allowBlank="1" showInputMessage="1" showErrorMessage="1" promptTitle="Geboortedatum" prompt="Vul in: datum tussen 01-01-2006 en 31-12-2021_x000a__x000a_" xr:uid="{00000000-0002-0000-0000-000005000000}">
          <x14:formula1>
            <xm:f>'DATA formulier'!E32</xm:f>
          </x14:formula1>
          <x14:formula2>
            <xm:f>'DATA formulier'!E33</xm:f>
          </x14:formula2>
          <xm:sqref>I10:R10</xm:sqref>
        </x14:dataValidation>
        <x14:dataValidation type="date" allowBlank="1" showErrorMessage="1" errorTitle="Datum aanvraag" error="Alleen data tussen 01-06-2026 en 31-05-2027 worden geaccepteerd._x000a_" promptTitle="Datum aanvraag" prompt="_x000a_" xr:uid="{00000000-0002-0000-0000-000006000000}">
          <x14:formula1>
            <xm:f>'DATA formulier'!D32</xm:f>
          </x14:formula1>
          <x14:formula2>
            <xm:f>'DATA formulier'!D33</xm:f>
          </x14:formula2>
          <xm:sqref>I5:R5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sheetPr>
  <dimension ref="A1:Q21"/>
  <sheetViews>
    <sheetView workbookViewId="0">
      <selection activeCell="K47" sqref="K47:K48"/>
    </sheetView>
  </sheetViews>
  <sheetFormatPr defaultRowHeight="15" x14ac:dyDescent="0.25"/>
  <cols>
    <col min="1" max="1" width="9.140625" style="59"/>
  </cols>
  <sheetData>
    <row r="1" spans="1:17" x14ac:dyDescent="0.25">
      <c r="A1" s="85"/>
      <c r="B1" s="39" t="s">
        <v>31</v>
      </c>
      <c r="C1" s="40" t="s">
        <v>32</v>
      </c>
      <c r="D1" s="39" t="s">
        <v>33</v>
      </c>
      <c r="E1" s="40" t="s">
        <v>34</v>
      </c>
      <c r="F1" s="39" t="s">
        <v>35</v>
      </c>
      <c r="G1" s="40" t="s">
        <v>36</v>
      </c>
      <c r="H1" s="39" t="s">
        <v>37</v>
      </c>
      <c r="I1" s="40" t="s">
        <v>38</v>
      </c>
      <c r="J1" s="39" t="s">
        <v>39</v>
      </c>
      <c r="K1" s="40" t="s">
        <v>40</v>
      </c>
      <c r="L1" s="39" t="s">
        <v>41</v>
      </c>
      <c r="M1" s="40" t="s">
        <v>42</v>
      </c>
      <c r="N1" s="39" t="s">
        <v>43</v>
      </c>
      <c r="O1" s="40" t="s">
        <v>44</v>
      </c>
      <c r="P1" s="39" t="s">
        <v>45</v>
      </c>
      <c r="Q1" s="41" t="s">
        <v>46</v>
      </c>
    </row>
    <row r="2" spans="1:17" x14ac:dyDescent="0.25">
      <c r="A2" s="42">
        <v>1</v>
      </c>
      <c r="B2" s="50">
        <f>'Lengte V norm'!B4-'Lengte V norm'!B3</f>
        <v>5.5</v>
      </c>
      <c r="C2" s="51">
        <f>'Lengte V norm'!B3-'Lengte V - lijnstukken'!B2*'Lengte V - lijnstukken'!$A2</f>
        <v>61</v>
      </c>
      <c r="D2" s="50">
        <f>'Lengte V norm'!D4-'Lengte V norm'!D3</f>
        <v>11</v>
      </c>
      <c r="E2" s="51">
        <f>'Lengte V norm'!D3-'Lengte V - lijnstukken'!D2*'Lengte V - lijnstukken'!$A2</f>
        <v>57</v>
      </c>
      <c r="F2" s="50">
        <f>'Lengte V norm'!F4-'Lengte V norm'!F3</f>
        <v>10.5</v>
      </c>
      <c r="G2" s="51">
        <f>'Lengte V norm'!F3-'Lengte V - lijnstukken'!F2*'Lengte V - lijnstukken'!$A2</f>
        <v>59.5</v>
      </c>
      <c r="H2" s="50">
        <f>'Lengte V norm'!H4-'Lengte V norm'!H3</f>
        <v>12</v>
      </c>
      <c r="I2" s="51">
        <f>'Lengte V norm'!H3-'Lengte V - lijnstukken'!H2*'Lengte V - lijnstukken'!$A2</f>
        <v>60</v>
      </c>
      <c r="J2" s="50">
        <f>'Lengte V norm'!J4-'Lengte V norm'!J3</f>
        <v>12</v>
      </c>
      <c r="K2" s="51">
        <f>'Lengte V norm'!J3-'Lengte V - lijnstukken'!J2*'Lengte V - lijnstukken'!$A2</f>
        <v>63.5</v>
      </c>
      <c r="L2" s="50">
        <f>'Lengte V norm'!L4-'Lengte V norm'!L3</f>
        <v>12.5</v>
      </c>
      <c r="M2" s="51">
        <f>'Lengte V norm'!L3-'Lengte V - lijnstukken'!L2*'Lengte V - lijnstukken'!$A2</f>
        <v>65.5</v>
      </c>
      <c r="N2" s="50">
        <f>'Lengte V norm'!N4-'Lengte V norm'!N3</f>
        <v>13</v>
      </c>
      <c r="O2" s="51">
        <f>'Lengte V norm'!N3-'Lengte V - lijnstukken'!N2*'Lengte V - lijnstukken'!$A2</f>
        <v>68</v>
      </c>
      <c r="P2" s="50">
        <f>'Lengte V norm'!P4-'Lengte V norm'!P3</f>
        <v>13.5</v>
      </c>
      <c r="Q2" s="52">
        <f>'Lengte V norm'!P3-'Lengte V - lijnstukken'!P2*'Lengte V - lijnstukken'!$A2</f>
        <v>68.5</v>
      </c>
    </row>
    <row r="3" spans="1:17" x14ac:dyDescent="0.25">
      <c r="A3" s="42">
        <v>2</v>
      </c>
      <c r="B3" s="50">
        <f>'Lengte V norm'!B5-'Lengte V norm'!B4</f>
        <v>14</v>
      </c>
      <c r="C3" s="51">
        <f>'Lengte V norm'!B4-'Lengte V - lijnstukken'!B3*'Lengte V - lijnstukken'!$A3</f>
        <v>44</v>
      </c>
      <c r="D3" s="50">
        <f>'Lengte V norm'!D5-'Lengte V norm'!D4</f>
        <v>8.5</v>
      </c>
      <c r="E3" s="51">
        <f>'Lengte V norm'!D4-'Lengte V - lijnstukken'!D3*'Lengte V - lijnstukken'!$A3</f>
        <v>62</v>
      </c>
      <c r="F3" s="50">
        <f>'Lengte V norm'!F5-'Lengte V norm'!F4</f>
        <v>9</v>
      </c>
      <c r="G3" s="51">
        <f>'Lengte V norm'!F4-'Lengte V - lijnstukken'!F3*'Lengte V - lijnstukken'!$A3</f>
        <v>62.5</v>
      </c>
      <c r="H3" s="50">
        <f>'Lengte V norm'!H5-'Lengte V norm'!H4</f>
        <v>9</v>
      </c>
      <c r="I3" s="51">
        <f>'Lengte V norm'!H4-'Lengte V - lijnstukken'!H3*'Lengte V - lijnstukken'!$A3</f>
        <v>66</v>
      </c>
      <c r="J3" s="50">
        <f>'Lengte V norm'!J5-'Lengte V norm'!J4</f>
        <v>9</v>
      </c>
      <c r="K3" s="51">
        <f>'Lengte V norm'!J4-'Lengte V - lijnstukken'!J3*'Lengte V - lijnstukken'!$A3</f>
        <v>69.5</v>
      </c>
      <c r="L3" s="50">
        <f>'Lengte V norm'!L5-'Lengte V norm'!L4</f>
        <v>10.5</v>
      </c>
      <c r="M3" s="51">
        <f>'Lengte V norm'!L4-'Lengte V - lijnstukken'!L3*'Lengte V - lijnstukken'!$A3</f>
        <v>69.5</v>
      </c>
      <c r="N3" s="50">
        <f>'Lengte V norm'!N5-'Lengte V norm'!N4</f>
        <v>10.5</v>
      </c>
      <c r="O3" s="51">
        <f>'Lengte V norm'!N4-'Lengte V - lijnstukken'!N3*'Lengte V - lijnstukken'!$A3</f>
        <v>73</v>
      </c>
      <c r="P3" s="50">
        <f>'Lengte V norm'!P5-'Lengte V norm'!P4</f>
        <v>11</v>
      </c>
      <c r="Q3" s="52">
        <f>'Lengte V norm'!P4-'Lengte V - lijnstukken'!P3*'Lengte V - lijnstukken'!$A3</f>
        <v>73.5</v>
      </c>
    </row>
    <row r="4" spans="1:17" x14ac:dyDescent="0.25">
      <c r="A4" s="42">
        <v>3</v>
      </c>
      <c r="B4" s="50">
        <f>'Lengte V norm'!B6-'Lengte V norm'!B5</f>
        <v>6.5</v>
      </c>
      <c r="C4" s="51">
        <f>'Lengte V norm'!B5-'Lengte V - lijnstukken'!B4*'Lengte V - lijnstukken'!$A4</f>
        <v>66.5</v>
      </c>
      <c r="D4" s="50">
        <f>'Lengte V norm'!D6-'Lengte V norm'!D5</f>
        <v>7</v>
      </c>
      <c r="E4" s="51">
        <f>'Lengte V norm'!D5-'Lengte V - lijnstukken'!D4*'Lengte V - lijnstukken'!$A4</f>
        <v>66.5</v>
      </c>
      <c r="F4" s="50">
        <f>'Lengte V norm'!F6-'Lengte V norm'!F5</f>
        <v>7</v>
      </c>
      <c r="G4" s="51">
        <f>'Lengte V norm'!F5-'Lengte V - lijnstukken'!F4*'Lengte V - lijnstukken'!$A4</f>
        <v>68.5</v>
      </c>
      <c r="H4" s="50">
        <f>'Lengte V norm'!H6-'Lengte V norm'!H5</f>
        <v>7.5</v>
      </c>
      <c r="I4" s="51">
        <f>'Lengte V norm'!H5-'Lengte V - lijnstukken'!H4*'Lengte V - lijnstukken'!$A4</f>
        <v>70.5</v>
      </c>
      <c r="J4" s="50">
        <f>'Lengte V norm'!J6-'Lengte V norm'!J5</f>
        <v>8.5</v>
      </c>
      <c r="K4" s="51">
        <f>'Lengte V norm'!J5-'Lengte V - lijnstukken'!J4*'Lengte V - lijnstukken'!$A4</f>
        <v>71</v>
      </c>
      <c r="L4" s="50">
        <f>'Lengte V norm'!L6-'Lengte V norm'!L5</f>
        <v>8</v>
      </c>
      <c r="M4" s="51">
        <f>'Lengte V norm'!L5-'Lengte V - lijnstukken'!L4*'Lengte V - lijnstukken'!$A4</f>
        <v>77</v>
      </c>
      <c r="N4" s="50">
        <f>'Lengte V norm'!N6-'Lengte V norm'!N5</f>
        <v>9</v>
      </c>
      <c r="O4" s="51">
        <f>'Lengte V norm'!N5-'Lengte V - lijnstukken'!N4*'Lengte V - lijnstukken'!$A4</f>
        <v>77.5</v>
      </c>
      <c r="P4" s="50">
        <f>'Lengte V norm'!P6-'Lengte V norm'!P5</f>
        <v>9</v>
      </c>
      <c r="Q4" s="52">
        <f>'Lengte V norm'!P5-'Lengte V - lijnstukken'!P4*'Lengte V - lijnstukken'!$A4</f>
        <v>79.5</v>
      </c>
    </row>
    <row r="5" spans="1:17" x14ac:dyDescent="0.25">
      <c r="A5" s="42">
        <v>4</v>
      </c>
      <c r="B5" s="50">
        <f>'Lengte V norm'!B7-'Lengte V norm'!B6</f>
        <v>5.5</v>
      </c>
      <c r="C5" s="51">
        <f>'Lengte V norm'!B6-'Lengte V - lijnstukken'!B5*'Lengte V - lijnstukken'!$A5</f>
        <v>70.5</v>
      </c>
      <c r="D5" s="50">
        <f>'Lengte V norm'!D7-'Lengte V norm'!D6</f>
        <v>6</v>
      </c>
      <c r="E5" s="51">
        <f>'Lengte V norm'!D6-'Lengte V - lijnstukken'!D5*'Lengte V - lijnstukken'!$A5</f>
        <v>70.5</v>
      </c>
      <c r="F5" s="50">
        <f>'Lengte V norm'!F7-'Lengte V norm'!F6</f>
        <v>6.5</v>
      </c>
      <c r="G5" s="51">
        <f>'Lengte V norm'!F6-'Lengte V - lijnstukken'!F5*'Lengte V - lijnstukken'!$A5</f>
        <v>70.5</v>
      </c>
      <c r="H5" s="50">
        <f>'Lengte V norm'!H7-'Lengte V norm'!H6</f>
        <v>7.5</v>
      </c>
      <c r="I5" s="51">
        <f>'Lengte V norm'!H6-'Lengte V - lijnstukken'!H5*'Lengte V - lijnstukken'!$A5</f>
        <v>70.5</v>
      </c>
      <c r="J5" s="50">
        <f>'Lengte V norm'!J7-'Lengte V norm'!J6</f>
        <v>7</v>
      </c>
      <c r="K5" s="51">
        <f>'Lengte V norm'!J6-'Lengte V - lijnstukken'!J5*'Lengte V - lijnstukken'!$A5</f>
        <v>77</v>
      </c>
      <c r="L5" s="50">
        <f>'Lengte V norm'!L7-'Lengte V norm'!L6</f>
        <v>8</v>
      </c>
      <c r="M5" s="51">
        <f>'Lengte V norm'!L6-'Lengte V - lijnstukken'!L5*'Lengte V - lijnstukken'!$A5</f>
        <v>77</v>
      </c>
      <c r="N5" s="50">
        <f>'Lengte V norm'!N7-'Lengte V norm'!N6</f>
        <v>8.5</v>
      </c>
      <c r="O5" s="51">
        <f>'Lengte V norm'!N6-'Lengte V - lijnstukken'!N5*'Lengte V - lijnstukken'!$A5</f>
        <v>79.5</v>
      </c>
      <c r="P5" s="50">
        <f>'Lengte V norm'!P7-'Lengte V norm'!P6</f>
        <v>8</v>
      </c>
      <c r="Q5" s="52">
        <f>'Lengte V norm'!P6-'Lengte V - lijnstukken'!P5*'Lengte V - lijnstukken'!$A5</f>
        <v>83.5</v>
      </c>
    </row>
    <row r="6" spans="1:17" x14ac:dyDescent="0.25">
      <c r="A6" s="42">
        <v>5</v>
      </c>
      <c r="B6" s="50">
        <f>'Lengte V norm'!B8-'Lengte V norm'!B7</f>
        <v>5.5</v>
      </c>
      <c r="C6" s="51">
        <f>'Lengte V norm'!B7-'Lengte V - lijnstukken'!B6*'Lengte V - lijnstukken'!$A6</f>
        <v>70.5</v>
      </c>
      <c r="D6" s="50">
        <f>'Lengte V norm'!D8-'Lengte V norm'!D7</f>
        <v>5.5</v>
      </c>
      <c r="E6" s="51">
        <f>'Lengte V norm'!D7-'Lengte V - lijnstukken'!D6*'Lengte V - lijnstukken'!$A6</f>
        <v>73</v>
      </c>
      <c r="F6" s="50">
        <f>'Lengte V norm'!F8-'Lengte V norm'!F7</f>
        <v>5.5</v>
      </c>
      <c r="G6" s="51">
        <f>'Lengte V norm'!F7-'Lengte V - lijnstukken'!F6*'Lengte V - lijnstukken'!$A6</f>
        <v>75.5</v>
      </c>
      <c r="H6" s="50">
        <f>'Lengte V norm'!H8-'Lengte V norm'!H7</f>
        <v>5.5</v>
      </c>
      <c r="I6" s="51">
        <f>'Lengte V norm'!H7-'Lengte V - lijnstukken'!H6*'Lengte V - lijnstukken'!$A6</f>
        <v>80.5</v>
      </c>
      <c r="J6" s="50">
        <f>'Lengte V norm'!J8-'Lengte V norm'!J7</f>
        <v>7</v>
      </c>
      <c r="K6" s="51">
        <f>'Lengte V norm'!J7-'Lengte V - lijnstukken'!J6*'Lengte V - lijnstukken'!$A6</f>
        <v>77</v>
      </c>
      <c r="L6" s="50">
        <f>'Lengte V norm'!L8-'Lengte V norm'!L7</f>
        <v>7</v>
      </c>
      <c r="M6" s="51">
        <f>'Lengte V norm'!L7-'Lengte V - lijnstukken'!L6*'Lengte V - lijnstukken'!$A6</f>
        <v>82</v>
      </c>
      <c r="N6" s="50">
        <f>'Lengte V norm'!N8-'Lengte V norm'!N7</f>
        <v>7</v>
      </c>
      <c r="O6" s="51">
        <f>'Lengte V norm'!N7-'Lengte V - lijnstukken'!N6*'Lengte V - lijnstukken'!$A6</f>
        <v>87</v>
      </c>
      <c r="P6" s="50">
        <f>'Lengte V norm'!P8-'Lengte V norm'!P7</f>
        <v>8</v>
      </c>
      <c r="Q6" s="52">
        <f>'Lengte V norm'!P7-'Lengte V - lijnstukken'!P6*'Lengte V - lijnstukken'!$A6</f>
        <v>83.5</v>
      </c>
    </row>
    <row r="7" spans="1:17" x14ac:dyDescent="0.25">
      <c r="A7" s="42">
        <v>6</v>
      </c>
      <c r="B7" s="50">
        <f>'Lengte V norm'!B9-'Lengte V norm'!B8</f>
        <v>5.5</v>
      </c>
      <c r="C7" s="51">
        <f>'Lengte V norm'!B8-'Lengte V - lijnstukken'!B7*'Lengte V - lijnstukken'!$A7</f>
        <v>70.5</v>
      </c>
      <c r="D7" s="50">
        <f>'Lengte V norm'!D9-'Lengte V norm'!D8</f>
        <v>6</v>
      </c>
      <c r="E7" s="51">
        <f>'Lengte V norm'!D8-'Lengte V - lijnstukken'!D7*'Lengte V - lijnstukken'!$A7</f>
        <v>70</v>
      </c>
      <c r="F7" s="50">
        <f>'Lengte V norm'!F9-'Lengte V norm'!F8</f>
        <v>6</v>
      </c>
      <c r="G7" s="51">
        <f>'Lengte V norm'!F8-'Lengte V - lijnstukken'!F7*'Lengte V - lijnstukken'!$A7</f>
        <v>72.5</v>
      </c>
      <c r="H7" s="50">
        <f>'Lengte V norm'!H9-'Lengte V norm'!H8</f>
        <v>6.5</v>
      </c>
      <c r="I7" s="51">
        <f>'Lengte V norm'!H8-'Lengte V - lijnstukken'!H7*'Lengte V - lijnstukken'!$A7</f>
        <v>74.5</v>
      </c>
      <c r="J7" s="50">
        <f>'Lengte V norm'!J9-'Lengte V norm'!J8</f>
        <v>6.5</v>
      </c>
      <c r="K7" s="51">
        <f>'Lengte V norm'!J8-'Lengte V - lijnstukken'!J7*'Lengte V - lijnstukken'!$A7</f>
        <v>80</v>
      </c>
      <c r="L7" s="50">
        <f>'Lengte V norm'!L9-'Lengte V norm'!L8</f>
        <v>7</v>
      </c>
      <c r="M7" s="51">
        <f>'Lengte V norm'!L8-'Lengte V - lijnstukken'!L7*'Lengte V - lijnstukken'!$A7</f>
        <v>82</v>
      </c>
      <c r="N7" s="50">
        <f>'Lengte V norm'!N9-'Lengte V norm'!N8</f>
        <v>7</v>
      </c>
      <c r="O7" s="51">
        <f>'Lengte V norm'!N8-'Lengte V - lijnstukken'!N7*'Lengte V - lijnstukken'!$A7</f>
        <v>87</v>
      </c>
      <c r="P7" s="50">
        <f>'Lengte V norm'!P9-'Lengte V norm'!P8</f>
        <v>7.5</v>
      </c>
      <c r="Q7" s="52">
        <f>'Lengte V norm'!P8-'Lengte V - lijnstukken'!P7*'Lengte V - lijnstukken'!$A7</f>
        <v>86.5</v>
      </c>
    </row>
    <row r="8" spans="1:17" x14ac:dyDescent="0.25">
      <c r="A8" s="42">
        <v>7</v>
      </c>
      <c r="B8" s="50">
        <f>'Lengte V norm'!B10-'Lengte V norm'!B9</f>
        <v>5</v>
      </c>
      <c r="C8" s="51">
        <f>'Lengte V norm'!B9-'Lengte V - lijnstukken'!B8*'Lengte V - lijnstukken'!$A8</f>
        <v>74</v>
      </c>
      <c r="D8" s="50">
        <f>'Lengte V norm'!D10-'Lengte V norm'!D9</f>
        <v>5</v>
      </c>
      <c r="E8" s="51">
        <f>'Lengte V norm'!D9-'Lengte V - lijnstukken'!D8*'Lengte V - lijnstukken'!$A8</f>
        <v>77</v>
      </c>
      <c r="F8" s="50">
        <f>'Lengte V norm'!F10-'Lengte V norm'!F9</f>
        <v>5.5</v>
      </c>
      <c r="G8" s="51">
        <f>'Lengte V norm'!F9-'Lengte V - lijnstukken'!F8*'Lengte V - lijnstukken'!$A8</f>
        <v>76</v>
      </c>
      <c r="H8" s="50">
        <f>'Lengte V norm'!H10-'Lengte V norm'!H9</f>
        <v>5.5</v>
      </c>
      <c r="I8" s="51">
        <f>'Lengte V norm'!H9-'Lengte V - lijnstukken'!H8*'Lengte V - lijnstukken'!$A8</f>
        <v>81.5</v>
      </c>
      <c r="J8" s="50">
        <f>'Lengte V norm'!J10-'Lengte V norm'!J9</f>
        <v>6</v>
      </c>
      <c r="K8" s="51">
        <f>'Lengte V norm'!J9-'Lengte V - lijnstukken'!J8*'Lengte V - lijnstukken'!$A8</f>
        <v>83.5</v>
      </c>
      <c r="L8" s="50">
        <f>'Lengte V norm'!L10-'Lengte V norm'!L9</f>
        <v>6</v>
      </c>
      <c r="M8" s="51">
        <f>'Lengte V norm'!L9-'Lengte V - lijnstukken'!L8*'Lengte V - lijnstukken'!$A8</f>
        <v>89</v>
      </c>
      <c r="N8" s="50">
        <f>'Lengte V norm'!N10-'Lengte V norm'!N9</f>
        <v>7</v>
      </c>
      <c r="O8" s="51">
        <f>'Lengte V norm'!N9-'Lengte V - lijnstukken'!N8*'Lengte V - lijnstukken'!$A8</f>
        <v>87</v>
      </c>
      <c r="P8" s="50">
        <f>'Lengte V norm'!P10-'Lengte V norm'!P9</f>
        <v>7</v>
      </c>
      <c r="Q8" s="52">
        <f>'Lengte V norm'!P9-'Lengte V - lijnstukken'!P8*'Lengte V - lijnstukken'!$A8</f>
        <v>90</v>
      </c>
    </row>
    <row r="9" spans="1:17" x14ac:dyDescent="0.25">
      <c r="A9" s="42">
        <v>8</v>
      </c>
      <c r="B9" s="50">
        <f>'Lengte V norm'!B11-'Lengte V norm'!B10</f>
        <v>5</v>
      </c>
      <c r="C9" s="51">
        <f>'Lengte V norm'!B10-'Lengte V - lijnstukken'!B9*'Lengte V - lijnstukken'!$A9</f>
        <v>74</v>
      </c>
      <c r="D9" s="50">
        <f>'Lengte V norm'!D11-'Lengte V norm'!D10</f>
        <v>5</v>
      </c>
      <c r="E9" s="51">
        <f>'Lengte V norm'!D10-'Lengte V - lijnstukken'!D9*'Lengte V - lijnstukken'!$A9</f>
        <v>77</v>
      </c>
      <c r="F9" s="50">
        <f>'Lengte V norm'!F11-'Lengte V norm'!F10</f>
        <v>5</v>
      </c>
      <c r="G9" s="51">
        <f>'Lengte V norm'!F10-'Lengte V - lijnstukken'!F9*'Lengte V - lijnstukken'!$A9</f>
        <v>80</v>
      </c>
      <c r="H9" s="50">
        <f>'Lengte V norm'!H11-'Lengte V norm'!H10</f>
        <v>5.5</v>
      </c>
      <c r="I9" s="51">
        <f>'Lengte V norm'!H10-'Lengte V - lijnstukken'!H9*'Lengte V - lijnstukken'!$A9</f>
        <v>81.5</v>
      </c>
      <c r="J9" s="50">
        <f>'Lengte V norm'!J11-'Lengte V norm'!J10</f>
        <v>5.5</v>
      </c>
      <c r="K9" s="51">
        <f>'Lengte V norm'!J10-'Lengte V - lijnstukken'!J9*'Lengte V - lijnstukken'!$A9</f>
        <v>87.5</v>
      </c>
      <c r="L9" s="50">
        <f>'Lengte V norm'!L11-'Lengte V norm'!L10</f>
        <v>6.5</v>
      </c>
      <c r="M9" s="51">
        <f>'Lengte V norm'!L10-'Lengte V - lijnstukken'!L9*'Lengte V - lijnstukken'!$A9</f>
        <v>85</v>
      </c>
      <c r="N9" s="50">
        <f>'Lengte V norm'!N11-'Lengte V norm'!N10</f>
        <v>6.5</v>
      </c>
      <c r="O9" s="51">
        <f>'Lengte V norm'!N10-'Lengte V - lijnstukken'!N9*'Lengte V - lijnstukken'!$A9</f>
        <v>91</v>
      </c>
      <c r="P9" s="50">
        <f>'Lengte V norm'!P11-'Lengte V norm'!P10</f>
        <v>6.5</v>
      </c>
      <c r="Q9" s="52">
        <f>'Lengte V norm'!P10-'Lengte V - lijnstukken'!P9*'Lengte V - lijnstukken'!$A9</f>
        <v>94</v>
      </c>
    </row>
    <row r="10" spans="1:17" x14ac:dyDescent="0.25">
      <c r="A10" s="42">
        <v>9</v>
      </c>
      <c r="B10" s="50">
        <f>'Lengte V norm'!B12-'Lengte V norm'!B11</f>
        <v>5</v>
      </c>
      <c r="C10" s="51">
        <f>'Lengte V norm'!B11-'Lengte V - lijnstukken'!B10*'Lengte V - lijnstukken'!$A10</f>
        <v>74</v>
      </c>
      <c r="D10" s="50">
        <f>'Lengte V norm'!D12-'Lengte V norm'!D11</f>
        <v>4.5</v>
      </c>
      <c r="E10" s="51">
        <f>'Lengte V norm'!D11-'Lengte V - lijnstukken'!D10*'Lengte V - lijnstukken'!$A10</f>
        <v>81.5</v>
      </c>
      <c r="F10" s="50">
        <f>'Lengte V norm'!F12-'Lengte V norm'!F11</f>
        <v>5.5</v>
      </c>
      <c r="G10" s="51">
        <f>'Lengte V norm'!F11-'Lengte V - lijnstukken'!F10*'Lengte V - lijnstukken'!$A10</f>
        <v>75.5</v>
      </c>
      <c r="H10" s="50">
        <f>'Lengte V norm'!H12-'Lengte V norm'!H11</f>
        <v>6</v>
      </c>
      <c r="I10" s="51">
        <f>'Lengte V norm'!H11-'Lengte V - lijnstukken'!H10*'Lengte V - lijnstukken'!$A10</f>
        <v>77</v>
      </c>
      <c r="J10" s="50">
        <f>'Lengte V norm'!J12-'Lengte V norm'!J11</f>
        <v>6.5</v>
      </c>
      <c r="K10" s="51">
        <f>'Lengte V norm'!J11-'Lengte V - lijnstukken'!J10*'Lengte V - lijnstukken'!$A10</f>
        <v>78.5</v>
      </c>
      <c r="L10" s="50">
        <f>'Lengte V norm'!L12-'Lengte V norm'!L11</f>
        <v>6.5</v>
      </c>
      <c r="M10" s="51">
        <f>'Lengte V norm'!L11-'Lengte V - lijnstukken'!L10*'Lengte V - lijnstukken'!$A10</f>
        <v>85</v>
      </c>
      <c r="N10" s="50">
        <f>'Lengte V norm'!N12-'Lengte V norm'!N11</f>
        <v>7</v>
      </c>
      <c r="O10" s="51">
        <f>'Lengte V norm'!N11-'Lengte V - lijnstukken'!N10*'Lengte V - lijnstukken'!$A10</f>
        <v>86.5</v>
      </c>
      <c r="P10" s="50">
        <f>'Lengte V norm'!P12-'Lengte V norm'!P11</f>
        <v>7</v>
      </c>
      <c r="Q10" s="52">
        <f>'Lengte V norm'!P11-'Lengte V - lijnstukken'!P10*'Lengte V - lijnstukken'!$A10</f>
        <v>89.5</v>
      </c>
    </row>
    <row r="11" spans="1:17" x14ac:dyDescent="0.25">
      <c r="A11" s="42">
        <v>10</v>
      </c>
      <c r="B11" s="50">
        <f>'Lengte V norm'!B13-'Lengte V norm'!B12</f>
        <v>6</v>
      </c>
      <c r="C11" s="51">
        <f>'Lengte V norm'!B12-'Lengte V - lijnstukken'!B11*'Lengte V - lijnstukken'!$A11</f>
        <v>64</v>
      </c>
      <c r="D11" s="50">
        <f>'Lengte V norm'!D13-'Lengte V norm'!D12</f>
        <v>6.5</v>
      </c>
      <c r="E11" s="51">
        <f>'Lengte V norm'!D12-'Lengte V - lijnstukken'!D11*'Lengte V - lijnstukken'!$A11</f>
        <v>61.5</v>
      </c>
      <c r="F11" s="50">
        <f>'Lengte V norm'!F13-'Lengte V norm'!F12</f>
        <v>6</v>
      </c>
      <c r="G11" s="51">
        <f>'Lengte V norm'!F12-'Lengte V - lijnstukken'!F11*'Lengte V - lijnstukken'!$A11</f>
        <v>70.5</v>
      </c>
      <c r="H11" s="50">
        <f>'Lengte V norm'!H13-'Lengte V norm'!H12</f>
        <v>6</v>
      </c>
      <c r="I11" s="51">
        <f>'Lengte V norm'!H12-'Lengte V - lijnstukken'!H11*'Lengte V - lijnstukken'!$A11</f>
        <v>77</v>
      </c>
      <c r="J11" s="50">
        <f>'Lengte V norm'!J13-'Lengte V norm'!J12</f>
        <v>6.5</v>
      </c>
      <c r="K11" s="51">
        <f>'Lengte V norm'!J12-'Lengte V - lijnstukken'!J11*'Lengte V - lijnstukken'!$A11</f>
        <v>78.5</v>
      </c>
      <c r="L11" s="50">
        <f>'Lengte V norm'!L13-'Lengte V norm'!L12</f>
        <v>6.5999999999999943</v>
      </c>
      <c r="M11" s="51">
        <f>'Lengte V norm'!L12-'Lengte V - lijnstukken'!L11*'Lengte V - lijnstukken'!$A11</f>
        <v>84.000000000000057</v>
      </c>
      <c r="N11" s="50">
        <f>'Lengte V norm'!N13-'Lengte V norm'!N12</f>
        <v>6.5</v>
      </c>
      <c r="O11" s="51">
        <f>'Lengte V norm'!N12-'Lengte V - lijnstukken'!N11*'Lengte V - lijnstukken'!$A11</f>
        <v>91.5</v>
      </c>
      <c r="P11" s="50">
        <f>'Lengte V norm'!P13-'Lengte V norm'!P12</f>
        <v>7</v>
      </c>
      <c r="Q11" s="52">
        <f>'Lengte V norm'!P12-'Lengte V - lijnstukken'!P11*'Lengte V - lijnstukken'!$A11</f>
        <v>89.5</v>
      </c>
    </row>
    <row r="12" spans="1:17" x14ac:dyDescent="0.25">
      <c r="A12" s="42">
        <v>11</v>
      </c>
      <c r="B12" s="50">
        <f>'Lengte V norm'!B14-'Lengte V norm'!B13</f>
        <v>5</v>
      </c>
      <c r="C12" s="51">
        <f>'Lengte V norm'!B13-'Lengte V - lijnstukken'!B12*'Lengte V - lijnstukken'!$A12</f>
        <v>75</v>
      </c>
      <c r="D12" s="50">
        <f>'Lengte V norm'!D14-'Lengte V norm'!D13</f>
        <v>5.5</v>
      </c>
      <c r="E12" s="51">
        <f>'Lengte V norm'!D13-'Lengte V - lijnstukken'!D12*'Lengte V - lijnstukken'!$A12</f>
        <v>72.5</v>
      </c>
      <c r="F12" s="50">
        <f>'Lengte V norm'!F14-'Lengte V norm'!F13</f>
        <v>5.5</v>
      </c>
      <c r="G12" s="51">
        <f>'Lengte V norm'!F13-'Lengte V - lijnstukken'!F12*'Lengte V - lijnstukken'!$A12</f>
        <v>76</v>
      </c>
      <c r="H12" s="50">
        <f>'Lengte V norm'!H14-'Lengte V norm'!H13</f>
        <v>6</v>
      </c>
      <c r="I12" s="51">
        <f>'Lengte V norm'!H13-'Lengte V - lijnstukken'!H12*'Lengte V - lijnstukken'!$A12</f>
        <v>77</v>
      </c>
      <c r="J12" s="50">
        <f>'Lengte V norm'!J14-'Lengte V norm'!J13</f>
        <v>6</v>
      </c>
      <c r="K12" s="51">
        <f>'Lengte V norm'!J13-'Lengte V - lijnstukken'!J12*'Lengte V - lijnstukken'!$A12</f>
        <v>84</v>
      </c>
      <c r="L12" s="50">
        <f>'Lengte V norm'!L14-'Lengte V norm'!L13</f>
        <v>5.9000000000000057</v>
      </c>
      <c r="M12" s="51">
        <f>'Lengte V norm'!L13-'Lengte V - lijnstukken'!L12*'Lengte V - lijnstukken'!$A12</f>
        <v>91.699999999999932</v>
      </c>
      <c r="N12" s="50">
        <f>'Lengte V norm'!N14-'Lengte V norm'!N13</f>
        <v>6.5</v>
      </c>
      <c r="O12" s="51">
        <f>'Lengte V norm'!N13-'Lengte V - lijnstukken'!N12*'Lengte V - lijnstukken'!$A12</f>
        <v>91.5</v>
      </c>
      <c r="P12" s="50">
        <f>'Lengte V norm'!P14-'Lengte V norm'!P13</f>
        <v>6.5</v>
      </c>
      <c r="Q12" s="52">
        <f>'Lengte V norm'!P13-'Lengte V - lijnstukken'!P12*'Lengte V - lijnstukken'!$A12</f>
        <v>95</v>
      </c>
    </row>
    <row r="13" spans="1:17" x14ac:dyDescent="0.25">
      <c r="A13" s="42">
        <v>12</v>
      </c>
      <c r="B13" s="50">
        <f>'Lengte V norm'!B15-'Lengte V norm'!B14</f>
        <v>5</v>
      </c>
      <c r="C13" s="51">
        <f>'Lengte V norm'!B14-'Lengte V - lijnstukken'!B13*'Lengte V - lijnstukken'!$A13</f>
        <v>75</v>
      </c>
      <c r="D13" s="50">
        <f>'Lengte V norm'!D15-'Lengte V norm'!D14</f>
        <v>5</v>
      </c>
      <c r="E13" s="51">
        <f>'Lengte V norm'!D14-'Lengte V - lijnstukken'!D13*'Lengte V - lijnstukken'!$A13</f>
        <v>78.5</v>
      </c>
      <c r="F13" s="50">
        <f>'Lengte V norm'!F15-'Lengte V norm'!F14</f>
        <v>5</v>
      </c>
      <c r="G13" s="51">
        <f>'Lengte V norm'!F14-'Lengte V - lijnstukken'!F13*'Lengte V - lijnstukken'!$A13</f>
        <v>82</v>
      </c>
      <c r="H13" s="50">
        <f>'Lengte V norm'!H15-'Lengte V norm'!H14</f>
        <v>5</v>
      </c>
      <c r="I13" s="51">
        <f>'Lengte V norm'!H14-'Lengte V - lijnstukken'!H13*'Lengte V - lijnstukken'!$A13</f>
        <v>89</v>
      </c>
      <c r="J13" s="50">
        <f>'Lengte V norm'!J15-'Lengte V norm'!J14</f>
        <v>5</v>
      </c>
      <c r="K13" s="51">
        <f>'Lengte V norm'!J14-'Lengte V - lijnstukken'!J13*'Lengte V - lijnstukken'!$A13</f>
        <v>96</v>
      </c>
      <c r="L13" s="50">
        <f>'Lengte V norm'!L15-'Lengte V norm'!L14</f>
        <v>5.5</v>
      </c>
      <c r="M13" s="51">
        <f>'Lengte V norm'!L14-'Lengte V - lijnstukken'!L13*'Lengte V - lijnstukken'!$A13</f>
        <v>96.5</v>
      </c>
      <c r="N13" s="50">
        <f>'Lengte V norm'!N15-'Lengte V norm'!N14</f>
        <v>5.5</v>
      </c>
      <c r="O13" s="51">
        <f>'Lengte V norm'!N14-'Lengte V - lijnstukken'!N13*'Lengte V - lijnstukken'!$A13</f>
        <v>103.5</v>
      </c>
      <c r="P13" s="50">
        <f>'Lengte V norm'!P15-'Lengte V norm'!P14</f>
        <v>5</v>
      </c>
      <c r="Q13" s="52">
        <f>'Lengte V norm'!P14-'Lengte V - lijnstukken'!P13*'Lengte V - lijnstukken'!$A13</f>
        <v>113</v>
      </c>
    </row>
    <row r="14" spans="1:17" x14ac:dyDescent="0.25">
      <c r="A14" s="42">
        <v>13</v>
      </c>
      <c r="B14" s="50">
        <f>'Lengte V norm'!B16-'Lengte V norm'!B15</f>
        <v>4</v>
      </c>
      <c r="C14" s="51">
        <f>'Lengte V norm'!B15-'Lengte V - lijnstukken'!B14*'Lengte V - lijnstukken'!$A14</f>
        <v>88</v>
      </c>
      <c r="D14" s="50">
        <f>'Lengte V norm'!D16-'Lengte V norm'!D15</f>
        <v>3.5</v>
      </c>
      <c r="E14" s="51">
        <f>'Lengte V norm'!D15-'Lengte V - lijnstukken'!D14*'Lengte V - lijnstukken'!$A14</f>
        <v>98</v>
      </c>
      <c r="F14" s="50">
        <f>'Lengte V norm'!F16-'Lengte V norm'!F15</f>
        <v>4</v>
      </c>
      <c r="G14" s="51">
        <f>'Lengte V norm'!F15-'Lengte V - lijnstukken'!F14*'Lengte V - lijnstukken'!$A14</f>
        <v>95</v>
      </c>
      <c r="H14" s="50">
        <f>'Lengte V norm'!H16-'Lengte V norm'!H15</f>
        <v>3.5</v>
      </c>
      <c r="I14" s="51">
        <f>'Lengte V norm'!H15-'Lengte V - lijnstukken'!H14*'Lengte V - lijnstukken'!$A14</f>
        <v>108.5</v>
      </c>
      <c r="J14" s="50">
        <f>'Lengte V norm'!J16-'Lengte V norm'!J15</f>
        <v>3.5</v>
      </c>
      <c r="K14" s="51">
        <f>'Lengte V norm'!J15-'Lengte V - lijnstukken'!J14*'Lengte V - lijnstukken'!$A14</f>
        <v>115.5</v>
      </c>
      <c r="L14" s="50">
        <f>'Lengte V norm'!L16-'Lengte V norm'!L15</f>
        <v>3.5</v>
      </c>
      <c r="M14" s="51">
        <f>'Lengte V norm'!L15-'Lengte V - lijnstukken'!L14*'Lengte V - lijnstukken'!$A14</f>
        <v>122.5</v>
      </c>
      <c r="N14" s="50">
        <f>'Lengte V norm'!N16-'Lengte V norm'!N15</f>
        <v>3</v>
      </c>
      <c r="O14" s="51">
        <f>'Lengte V norm'!N15-'Lengte V - lijnstukken'!N14*'Lengte V - lijnstukken'!$A14</f>
        <v>136</v>
      </c>
      <c r="P14" s="50">
        <f>'Lengte V norm'!P16-'Lengte V norm'!P15</f>
        <v>3.5</v>
      </c>
      <c r="Q14" s="52">
        <f>'Lengte V norm'!P15-'Lengte V - lijnstukken'!P14*'Lengte V - lijnstukken'!$A14</f>
        <v>132.5</v>
      </c>
    </row>
    <row r="15" spans="1:17" x14ac:dyDescent="0.25">
      <c r="A15" s="42">
        <v>14</v>
      </c>
      <c r="B15" s="50">
        <f>'Lengte V norm'!B17-'Lengte V norm'!B16</f>
        <v>2.5</v>
      </c>
      <c r="C15" s="51">
        <f>'Lengte V norm'!B16-'Lengte V - lijnstukken'!B15*'Lengte V - lijnstukken'!$A15</f>
        <v>109</v>
      </c>
      <c r="D15" s="50">
        <f>'Lengte V norm'!D17-'Lengte V norm'!D16</f>
        <v>3</v>
      </c>
      <c r="E15" s="51">
        <f>'Lengte V norm'!D16-'Lengte V - lijnstukken'!D15*'Lengte V - lijnstukken'!$A15</f>
        <v>105</v>
      </c>
      <c r="F15" s="50">
        <f>'Lengte V norm'!F17-'Lengte V norm'!F16</f>
        <v>2.5</v>
      </c>
      <c r="G15" s="51">
        <f>'Lengte V norm'!F16-'Lengte V - lijnstukken'!F15*'Lengte V - lijnstukken'!$A15</f>
        <v>116</v>
      </c>
      <c r="H15" s="50">
        <f>'Lengte V norm'!H17-'Lengte V norm'!H16</f>
        <v>2.5</v>
      </c>
      <c r="I15" s="51">
        <f>'Lengte V norm'!H16-'Lengte V - lijnstukken'!H15*'Lengte V - lijnstukken'!$A15</f>
        <v>122.5</v>
      </c>
      <c r="J15" s="50">
        <f>'Lengte V norm'!J17-'Lengte V norm'!J16</f>
        <v>2.5</v>
      </c>
      <c r="K15" s="51">
        <f>'Lengte V norm'!J16-'Lengte V - lijnstukken'!J15*'Lengte V - lijnstukken'!$A15</f>
        <v>129.5</v>
      </c>
      <c r="L15" s="50">
        <f>'Lengte V norm'!L17-'Lengte V norm'!L16</f>
        <v>2</v>
      </c>
      <c r="M15" s="51">
        <f>'Lengte V norm'!L16-'Lengte V - lijnstukken'!L15*'Lengte V - lijnstukken'!$A15</f>
        <v>143.5</v>
      </c>
      <c r="N15" s="50">
        <f>'Lengte V norm'!N17-'Lengte V norm'!N16</f>
        <v>2.5</v>
      </c>
      <c r="O15" s="51">
        <f>'Lengte V norm'!N16-'Lengte V - lijnstukken'!N15*'Lengte V - lijnstukken'!$A15</f>
        <v>143</v>
      </c>
      <c r="P15" s="50">
        <f>'Lengte V norm'!P17-'Lengte V norm'!P16</f>
        <v>2.5</v>
      </c>
      <c r="Q15" s="52">
        <f>'Lengte V norm'!P16-'Lengte V - lijnstukken'!P15*'Lengte V - lijnstukken'!$A15</f>
        <v>146.5</v>
      </c>
    </row>
    <row r="16" spans="1:17" x14ac:dyDescent="0.25">
      <c r="A16" s="42">
        <v>15</v>
      </c>
      <c r="B16" s="50">
        <f>'Lengte V norm'!B18-'Lengte V norm'!B17</f>
        <v>2</v>
      </c>
      <c r="C16" s="51">
        <f>'Lengte V norm'!B17-'Lengte V - lijnstukken'!B16*'Lengte V - lijnstukken'!$A16</f>
        <v>116.5</v>
      </c>
      <c r="D16" s="50">
        <f>'Lengte V norm'!D18-'Lengte V norm'!D17</f>
        <v>1.5</v>
      </c>
      <c r="E16" s="51">
        <f>'Lengte V norm'!D17-'Lengte V - lijnstukken'!D16*'Lengte V - lijnstukken'!$A16</f>
        <v>127.5</v>
      </c>
      <c r="F16" s="50">
        <f>'Lengte V norm'!F18-'Lengte V norm'!F17</f>
        <v>1.5</v>
      </c>
      <c r="G16" s="51">
        <f>'Lengte V norm'!F17-'Lengte V - lijnstukken'!F16*'Lengte V - lijnstukken'!$A16</f>
        <v>131</v>
      </c>
      <c r="H16" s="50">
        <f>'Lengte V norm'!H18-'Lengte V norm'!H17</f>
        <v>1.5</v>
      </c>
      <c r="I16" s="51">
        <f>'Lengte V norm'!H17-'Lengte V - lijnstukken'!H16*'Lengte V - lijnstukken'!$A16</f>
        <v>137.5</v>
      </c>
      <c r="J16" s="50">
        <f>'Lengte V norm'!J18-'Lengte V norm'!J17</f>
        <v>1.5</v>
      </c>
      <c r="K16" s="51">
        <f>'Lengte V norm'!J17-'Lengte V - lijnstukken'!J16*'Lengte V - lijnstukken'!$A16</f>
        <v>144.5</v>
      </c>
      <c r="L16" s="50">
        <f>'Lengte V norm'!L18-'Lengte V norm'!L17</f>
        <v>1.5</v>
      </c>
      <c r="M16" s="51">
        <f>'Lengte V norm'!L17-'Lengte V - lijnstukken'!L16*'Lengte V - lijnstukken'!$A16</f>
        <v>151</v>
      </c>
      <c r="N16" s="50">
        <f>'Lengte V norm'!N18-'Lengte V norm'!N17</f>
        <v>1</v>
      </c>
      <c r="O16" s="51">
        <f>'Lengte V norm'!N17-'Lengte V - lijnstukken'!N16*'Lengte V - lijnstukken'!$A16</f>
        <v>165.5</v>
      </c>
      <c r="P16" s="50">
        <f>'Lengte V norm'!P18-'Lengte V norm'!P17</f>
        <v>1</v>
      </c>
      <c r="Q16" s="52">
        <f>'Lengte V norm'!P17-'Lengte V - lijnstukken'!P16*'Lengte V - lijnstukken'!$A16</f>
        <v>169</v>
      </c>
    </row>
    <row r="17" spans="1:17" x14ac:dyDescent="0.25">
      <c r="A17" s="42">
        <v>16</v>
      </c>
      <c r="B17" s="50">
        <f>'Lengte V norm'!B19-'Lengte V norm'!B18</f>
        <v>1</v>
      </c>
      <c r="C17" s="51">
        <f>'Lengte V norm'!B18-'Lengte V - lijnstukken'!B17*'Lengte V - lijnstukken'!$A17</f>
        <v>132.5</v>
      </c>
      <c r="D17" s="50">
        <f>'Lengte V norm'!D19-'Lengte V norm'!D18</f>
        <v>1</v>
      </c>
      <c r="E17" s="51">
        <f>'Lengte V norm'!D18-'Lengte V - lijnstukken'!D17*'Lengte V - lijnstukken'!$A17</f>
        <v>135.5</v>
      </c>
      <c r="F17" s="50">
        <f>'Lengte V norm'!F19-'Lengte V norm'!F18</f>
        <v>1</v>
      </c>
      <c r="G17" s="51">
        <f>'Lengte V norm'!F18-'Lengte V - lijnstukken'!F17*'Lengte V - lijnstukken'!$A17</f>
        <v>139</v>
      </c>
      <c r="H17" s="50">
        <f>'Lengte V norm'!H19-'Lengte V norm'!H18</f>
        <v>1</v>
      </c>
      <c r="I17" s="51">
        <f>'Lengte V norm'!H18-'Lengte V - lijnstukken'!H17*'Lengte V - lijnstukken'!$A17</f>
        <v>145.5</v>
      </c>
      <c r="J17" s="50">
        <f>'Lengte V norm'!J19-'Lengte V norm'!J18</f>
        <v>0.5</v>
      </c>
      <c r="K17" s="51">
        <f>'Lengte V norm'!J18-'Lengte V - lijnstukken'!J17*'Lengte V - lijnstukken'!$A17</f>
        <v>160.5</v>
      </c>
      <c r="L17" s="50">
        <f>'Lengte V norm'!L19-'Lengte V norm'!L18</f>
        <v>0.80000000000001137</v>
      </c>
      <c r="M17" s="51">
        <f>'Lengte V norm'!L18-'Lengte V - lijnstukken'!L17*'Lengte V - lijnstukken'!$A17</f>
        <v>162.19999999999982</v>
      </c>
      <c r="N17" s="50">
        <f>'Lengte V norm'!N19-'Lengte V norm'!N18</f>
        <v>0.69999999999998863</v>
      </c>
      <c r="O17" s="51">
        <f>'Lengte V norm'!N18-'Lengte V - lijnstukken'!N17*'Lengte V - lijnstukken'!$A17</f>
        <v>170.30000000000018</v>
      </c>
      <c r="P17" s="50">
        <f>'Lengte V norm'!P19-'Lengte V norm'!P18</f>
        <v>0.80000000000001137</v>
      </c>
      <c r="Q17" s="52">
        <f>'Lengte V norm'!P18-'Lengte V - lijnstukken'!P17*'Lengte V - lijnstukken'!$A17</f>
        <v>172.19999999999982</v>
      </c>
    </row>
    <row r="18" spans="1:17" x14ac:dyDescent="0.25">
      <c r="A18" s="42">
        <v>17</v>
      </c>
      <c r="B18" s="50">
        <f>'Lengte V norm'!B20-'Lengte V norm'!B19</f>
        <v>0.80000000000001137</v>
      </c>
      <c r="C18" s="51">
        <f>'Lengte V norm'!B19-'Lengte V - lijnstukken'!B18*'Lengte V - lijnstukken'!$A18</f>
        <v>135.89999999999981</v>
      </c>
      <c r="D18" s="50">
        <f>'Lengte V norm'!D20-'Lengte V norm'!D19</f>
        <v>1</v>
      </c>
      <c r="E18" s="51">
        <f>'Lengte V norm'!D19-'Lengte V - lijnstukken'!D18*'Lengte V - lijnstukken'!$A18</f>
        <v>135.5</v>
      </c>
      <c r="F18" s="50">
        <f>'Lengte V norm'!F20-'Lengte V norm'!F19</f>
        <v>0.5</v>
      </c>
      <c r="G18" s="51">
        <f>'Lengte V norm'!F19-'Lengte V - lijnstukken'!F18*'Lengte V - lijnstukken'!$A18</f>
        <v>147.5</v>
      </c>
      <c r="H18" s="50">
        <f>'Lengte V norm'!H20-'Lengte V norm'!H19</f>
        <v>0.5</v>
      </c>
      <c r="I18" s="51">
        <f>'Lengte V norm'!H19-'Lengte V - lijnstukken'!H18*'Lengte V - lijnstukken'!$A18</f>
        <v>154</v>
      </c>
      <c r="J18" s="50">
        <f>'Lengte V norm'!J20-'Lengte V norm'!J19</f>
        <v>0.5</v>
      </c>
      <c r="K18" s="51">
        <f>'Lengte V norm'!J19-'Lengte V - lijnstukken'!J18*'Lengte V - lijnstukken'!$A18</f>
        <v>160.5</v>
      </c>
      <c r="L18" s="50">
        <f>'Lengte V norm'!L20-'Lengte V norm'!L19</f>
        <v>0.19999999999998863</v>
      </c>
      <c r="M18" s="51">
        <f>'Lengte V norm'!L19-'Lengte V - lijnstukken'!L18*'Lengte V - lijnstukken'!$A18</f>
        <v>172.4000000000002</v>
      </c>
      <c r="N18" s="50">
        <f>'Lengte V norm'!N20-'Lengte V norm'!N19</f>
        <v>0.30000000000001137</v>
      </c>
      <c r="O18" s="51">
        <f>'Lengte V norm'!N19-'Lengte V - lijnstukken'!N18*'Lengte V - lijnstukken'!$A18</f>
        <v>177.0999999999998</v>
      </c>
      <c r="P18" s="50">
        <f>'Lengte V norm'!P20-'Lengte V norm'!P19</f>
        <v>0.19999999999998863</v>
      </c>
      <c r="Q18" s="52">
        <f>'Lengte V norm'!P19-'Lengte V - lijnstukken'!P18*'Lengte V - lijnstukken'!$A18</f>
        <v>182.4000000000002</v>
      </c>
    </row>
    <row r="19" spans="1:17" x14ac:dyDescent="0.25">
      <c r="A19" s="42">
        <v>18</v>
      </c>
      <c r="B19" s="50">
        <f>'Lengte V norm'!B21-'Lengte V norm'!B20</f>
        <v>0.39999999999997726</v>
      </c>
      <c r="C19" s="51">
        <f>'Lengte V norm'!B20-'Lengte V - lijnstukken'!B19*'Lengte V - lijnstukken'!$A19</f>
        <v>143.10000000000042</v>
      </c>
      <c r="D19" s="50">
        <f>'Lengte V norm'!D21-'Lengte V norm'!D20</f>
        <v>0.5</v>
      </c>
      <c r="E19" s="51">
        <f>'Lengte V norm'!D20-'Lengte V - lijnstukken'!D19*'Lengte V - lijnstukken'!$A19</f>
        <v>144.5</v>
      </c>
      <c r="F19" s="50">
        <f>'Lengte V norm'!F21-'Lengte V norm'!F20</f>
        <v>0.5</v>
      </c>
      <c r="G19" s="51">
        <f>'Lengte V norm'!F20-'Lengte V - lijnstukken'!F19*'Lengte V - lijnstukken'!$A19</f>
        <v>147.5</v>
      </c>
      <c r="H19" s="50">
        <f>'Lengte V norm'!H21-'Lengte V norm'!H20</f>
        <v>0.5</v>
      </c>
      <c r="I19" s="51">
        <f>'Lengte V norm'!H20-'Lengte V - lijnstukken'!H19*'Lengte V - lijnstukken'!$A19</f>
        <v>154</v>
      </c>
      <c r="J19" s="50">
        <f>'Lengte V norm'!J21-'Lengte V norm'!J20</f>
        <v>0.5</v>
      </c>
      <c r="K19" s="51">
        <f>'Lengte V norm'!J20-'Lengte V - lijnstukken'!J19*'Lengte V - lijnstukken'!$A19</f>
        <v>160.5</v>
      </c>
      <c r="L19" s="50">
        <f>'Lengte V norm'!L21-'Lengte V norm'!L20</f>
        <v>0.5</v>
      </c>
      <c r="M19" s="51">
        <f>'Lengte V norm'!L20-'Lengte V - lijnstukken'!L19*'Lengte V - lijnstukken'!$A19</f>
        <v>167</v>
      </c>
      <c r="N19" s="50">
        <f>'Lengte V norm'!N21-'Lengte V norm'!N20</f>
        <v>0.5</v>
      </c>
      <c r="O19" s="51">
        <f>'Lengte V norm'!N20-'Lengte V - lijnstukken'!N19*'Lengte V - lijnstukken'!$A19</f>
        <v>173.5</v>
      </c>
      <c r="P19" s="50">
        <f>'Lengte V norm'!P21-'Lengte V norm'!P20</f>
        <v>9.9999999999994316E-2</v>
      </c>
      <c r="Q19" s="52">
        <f>'Lengte V norm'!P20-'Lengte V - lijnstukken'!P19*'Lengte V - lijnstukken'!$A19</f>
        <v>184.2000000000001</v>
      </c>
    </row>
    <row r="20" spans="1:17" x14ac:dyDescent="0.25">
      <c r="A20" s="42">
        <v>19</v>
      </c>
      <c r="B20" s="50">
        <f>'Lengte V norm'!B22-'Lengte V norm'!B21</f>
        <v>0.30000000000001137</v>
      </c>
      <c r="C20" s="51">
        <f>'Lengte V norm'!B21-'Lengte V - lijnstukken'!B20*'Lengte V - lijnstukken'!$A20</f>
        <v>144.99999999999977</v>
      </c>
      <c r="D20" s="50">
        <f>'Lengte V norm'!D22-'Lengte V norm'!D21</f>
        <v>0.19999999999998863</v>
      </c>
      <c r="E20" s="51">
        <f>'Lengte V norm'!D21-'Lengte V - lijnstukken'!D20*'Lengte V - lijnstukken'!$A20</f>
        <v>150.20000000000022</v>
      </c>
      <c r="F20" s="50">
        <f>'Lengte V norm'!F22-'Lengte V norm'!F21</f>
        <v>0.19999999999998863</v>
      </c>
      <c r="G20" s="51">
        <f>'Lengte V norm'!F21-'Lengte V - lijnstukken'!F20*'Lengte V - lijnstukken'!$A20</f>
        <v>153.20000000000022</v>
      </c>
      <c r="H20" s="50">
        <f>'Lengte V norm'!H22-'Lengte V norm'!H21</f>
        <v>0.30000000000001137</v>
      </c>
      <c r="I20" s="51">
        <f>'Lengte V norm'!H21-'Lengte V - lijnstukken'!H20*'Lengte V - lijnstukken'!$A20</f>
        <v>157.79999999999978</v>
      </c>
      <c r="J20" s="50">
        <f>'Lengte V norm'!J22-'Lengte V norm'!J21</f>
        <v>0.30000000000001137</v>
      </c>
      <c r="K20" s="51">
        <f>'Lengte V norm'!J21-'Lengte V - lijnstukken'!J20*'Lengte V - lijnstukken'!$A20</f>
        <v>164.29999999999978</v>
      </c>
      <c r="L20" s="50">
        <f>'Lengte V norm'!L22-'Lengte V norm'!L21</f>
        <v>0.30000000000001137</v>
      </c>
      <c r="M20" s="51">
        <f>'Lengte V norm'!L21-'Lengte V - lijnstukken'!L20*'Lengte V - lijnstukken'!$A20</f>
        <v>170.79999999999978</v>
      </c>
      <c r="N20" s="50">
        <f>'Lengte V norm'!N22-'Lengte V norm'!N21</f>
        <v>0.19999999999998863</v>
      </c>
      <c r="O20" s="51">
        <f>'Lengte V norm'!N21-'Lengte V - lijnstukken'!N20*'Lengte V - lijnstukken'!$A20</f>
        <v>179.20000000000022</v>
      </c>
      <c r="P20" s="50">
        <f>'Lengte V norm'!P22-'Lengte V norm'!P21</f>
        <v>9.9999999999994316E-2</v>
      </c>
      <c r="Q20" s="52">
        <f>'Lengte V norm'!P21-'Lengte V - lijnstukken'!P20*'Lengte V - lijnstukken'!$A20</f>
        <v>184.2000000000001</v>
      </c>
    </row>
    <row r="21" spans="1:17" ht="15.75" thickBot="1" x14ac:dyDescent="0.3">
      <c r="A21" s="53">
        <v>20</v>
      </c>
      <c r="B21" s="56">
        <f>'Lengte V norm'!B23-'Lengte V norm'!B22</f>
        <v>0.19999999999998863</v>
      </c>
      <c r="C21" s="57">
        <f>'Lengte V norm'!B22-'Lengte V - lijnstukken'!B21*'Lengte V - lijnstukken'!$A21</f>
        <v>147.00000000000023</v>
      </c>
      <c r="D21" s="56">
        <f>'Lengte V norm'!D23-'Lengte V norm'!D22</f>
        <v>0.20000000000001705</v>
      </c>
      <c r="E21" s="57">
        <f>'Lengte V norm'!D22-'Lengte V - lijnstukken'!D21*'Lengte V - lijnstukken'!$A21</f>
        <v>150.19999999999965</v>
      </c>
      <c r="F21" s="56">
        <f>'Lengte V norm'!F23-'Lengte V norm'!F22</f>
        <v>0.20000000000001705</v>
      </c>
      <c r="G21" s="57">
        <f>'Lengte V norm'!F22-'Lengte V - lijnstukken'!F21*'Lengte V - lijnstukken'!$A21</f>
        <v>153.19999999999965</v>
      </c>
      <c r="H21" s="56">
        <f>'Lengte V norm'!H23-'Lengte V norm'!H22</f>
        <v>0.19999999999998863</v>
      </c>
      <c r="I21" s="57">
        <f>'Lengte V norm'!H22-'Lengte V - lijnstukken'!H21*'Lengte V - lijnstukken'!$A21</f>
        <v>159.80000000000024</v>
      </c>
      <c r="J21" s="56">
        <f>'Lengte V norm'!J23-'Lengte V norm'!J22</f>
        <v>0.19999999999998863</v>
      </c>
      <c r="K21" s="57">
        <f>'Lengte V norm'!J22-'Lengte V - lijnstukken'!J21*'Lengte V - lijnstukken'!$A21</f>
        <v>166.30000000000024</v>
      </c>
      <c r="L21" s="56">
        <f>'Lengte V norm'!L23-'Lengte V norm'!L22</f>
        <v>9.9999999999994316E-2</v>
      </c>
      <c r="M21" s="57">
        <f>'Lengte V norm'!L22-'Lengte V - lijnstukken'!L21*'Lengte V - lijnstukken'!$A21</f>
        <v>174.80000000000013</v>
      </c>
      <c r="N21" s="56">
        <f>'Lengte V norm'!N23-'Lengte V norm'!N22</f>
        <v>1.1000000000000227</v>
      </c>
      <c r="O21" s="57">
        <f>'Lengte V norm'!N22-'Lengte V - lijnstukken'!N21*'Lengte V - lijnstukken'!$A21</f>
        <v>161.19999999999953</v>
      </c>
      <c r="P21" s="56">
        <f>'Lengte V norm'!P23-'Lengte V norm'!P22</f>
        <v>0.10000000000002274</v>
      </c>
      <c r="Q21" s="58">
        <f>'Lengte V norm'!P22-'Lengte V - lijnstukken'!P21*'Lengte V - lijnstukken'!$A21</f>
        <v>184.19999999999953</v>
      </c>
    </row>
  </sheetData>
  <sheetProtection sheet="1" objects="1" scenarios="1"/>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sheetPr>
  <dimension ref="A1:S23"/>
  <sheetViews>
    <sheetView workbookViewId="0">
      <selection activeCell="K47" sqref="K47:K48"/>
    </sheetView>
  </sheetViews>
  <sheetFormatPr defaultRowHeight="15" x14ac:dyDescent="0.25"/>
  <cols>
    <col min="1" max="1" width="4.7109375" customWidth="1"/>
    <col min="2" max="2" width="8.7109375" customWidth="1"/>
    <col min="3" max="3" width="4.7109375" customWidth="1"/>
    <col min="4" max="4" width="8.7109375" customWidth="1"/>
    <col min="5" max="5" width="4.7109375" customWidth="1"/>
    <col min="6" max="6" width="8.7109375" customWidth="1"/>
    <col min="7" max="7" width="4.7109375" customWidth="1"/>
    <col min="8" max="8" width="8.7109375" customWidth="1"/>
    <col min="9" max="9" width="4.7109375" customWidth="1"/>
    <col min="10" max="10" width="8.7109375" customWidth="1"/>
    <col min="11" max="11" width="4.7109375" customWidth="1"/>
    <col min="12" max="12" width="8.7109375" customWidth="1"/>
    <col min="13" max="13" width="4.7109375" customWidth="1"/>
    <col min="14" max="14" width="8.7109375" customWidth="1"/>
    <col min="15" max="15" width="4.7109375" customWidth="1"/>
    <col min="16" max="16" width="8.7109375" customWidth="1"/>
    <col min="18" max="18" width="9.140625" customWidth="1"/>
    <col min="19" max="19" width="4.7109375" customWidth="1"/>
  </cols>
  <sheetData>
    <row r="1" spans="1:19" x14ac:dyDescent="0.25">
      <c r="A1" s="200" t="s">
        <v>57</v>
      </c>
      <c r="B1" s="201"/>
      <c r="C1" s="201"/>
      <c r="D1" s="201"/>
      <c r="E1" s="201"/>
      <c r="F1" s="201"/>
      <c r="G1" s="201"/>
      <c r="H1" s="201"/>
      <c r="I1" s="201"/>
      <c r="J1" s="201"/>
      <c r="K1" s="201"/>
      <c r="L1" s="201"/>
      <c r="M1" s="201"/>
      <c r="N1" s="201"/>
      <c r="O1" s="201"/>
      <c r="P1" s="202"/>
    </row>
    <row r="2" spans="1:19" x14ac:dyDescent="0.25">
      <c r="A2" s="60"/>
      <c r="B2" s="61">
        <v>-3</v>
      </c>
      <c r="C2" s="62"/>
      <c r="D2" s="61">
        <v>-2.5</v>
      </c>
      <c r="E2" s="62"/>
      <c r="F2" s="61">
        <v>-2</v>
      </c>
      <c r="G2" s="62"/>
      <c r="H2" s="61">
        <v>-1</v>
      </c>
      <c r="I2" s="62"/>
      <c r="J2" s="61">
        <v>0</v>
      </c>
      <c r="K2" s="62"/>
      <c r="L2" s="61">
        <v>1</v>
      </c>
      <c r="M2" s="62"/>
      <c r="N2" s="61">
        <v>2</v>
      </c>
      <c r="O2" s="62"/>
      <c r="P2" s="63">
        <v>2.5</v>
      </c>
      <c r="S2" s="64" t="s">
        <v>49</v>
      </c>
    </row>
    <row r="3" spans="1:19" x14ac:dyDescent="0.25">
      <c r="A3" s="34">
        <v>1</v>
      </c>
      <c r="B3" s="51">
        <v>66.5</v>
      </c>
      <c r="C3" s="65">
        <f>$A3</f>
        <v>1</v>
      </c>
      <c r="D3" s="51">
        <v>68</v>
      </c>
      <c r="E3" s="65">
        <f>$A3</f>
        <v>1</v>
      </c>
      <c r="F3" s="51">
        <v>70</v>
      </c>
      <c r="G3" s="65">
        <f>$A3</f>
        <v>1</v>
      </c>
      <c r="H3" s="51">
        <v>72</v>
      </c>
      <c r="I3" s="65">
        <f>$A3</f>
        <v>1</v>
      </c>
      <c r="J3" s="51">
        <v>75.5</v>
      </c>
      <c r="K3" s="65">
        <f>$A3</f>
        <v>1</v>
      </c>
      <c r="L3" s="51">
        <v>78</v>
      </c>
      <c r="M3" s="65">
        <f>$A3</f>
        <v>1</v>
      </c>
      <c r="N3" s="51">
        <v>81</v>
      </c>
      <c r="O3" s="65">
        <f>$A3</f>
        <v>1</v>
      </c>
      <c r="P3" s="52">
        <v>82</v>
      </c>
      <c r="R3" s="66">
        <v>2.5</v>
      </c>
      <c r="S3" s="1">
        <v>99.4</v>
      </c>
    </row>
    <row r="4" spans="1:19" x14ac:dyDescent="0.25">
      <c r="A4" s="34">
        <v>2</v>
      </c>
      <c r="B4" s="51">
        <v>72</v>
      </c>
      <c r="C4" s="65">
        <f t="shared" ref="C4:O23" si="0">$A4</f>
        <v>2</v>
      </c>
      <c r="D4" s="51">
        <v>79</v>
      </c>
      <c r="E4" s="65">
        <f t="shared" si="0"/>
        <v>2</v>
      </c>
      <c r="F4" s="51">
        <v>80.5</v>
      </c>
      <c r="G4" s="65">
        <f t="shared" si="0"/>
        <v>2</v>
      </c>
      <c r="H4" s="51">
        <v>84</v>
      </c>
      <c r="I4" s="65">
        <f t="shared" si="0"/>
        <v>2</v>
      </c>
      <c r="J4" s="51">
        <v>87.5</v>
      </c>
      <c r="K4" s="65">
        <f t="shared" si="0"/>
        <v>2</v>
      </c>
      <c r="L4" s="51">
        <v>90.5</v>
      </c>
      <c r="M4" s="65">
        <f t="shared" si="0"/>
        <v>2</v>
      </c>
      <c r="N4" s="51">
        <v>94</v>
      </c>
      <c r="O4" s="65">
        <f t="shared" si="0"/>
        <v>2</v>
      </c>
      <c r="P4" s="52">
        <v>95.5</v>
      </c>
      <c r="R4" s="67">
        <v>2</v>
      </c>
      <c r="S4" s="68">
        <v>98</v>
      </c>
    </row>
    <row r="5" spans="1:19" x14ac:dyDescent="0.25">
      <c r="A5" s="34">
        <v>3</v>
      </c>
      <c r="B5" s="51">
        <v>86</v>
      </c>
      <c r="C5" s="65">
        <f t="shared" si="0"/>
        <v>3</v>
      </c>
      <c r="D5" s="51">
        <v>87.5</v>
      </c>
      <c r="E5" s="65">
        <f t="shared" si="0"/>
        <v>3</v>
      </c>
      <c r="F5" s="51">
        <v>89.5</v>
      </c>
      <c r="G5" s="65">
        <f t="shared" si="0"/>
        <v>3</v>
      </c>
      <c r="H5" s="51">
        <v>93</v>
      </c>
      <c r="I5" s="65">
        <f t="shared" si="0"/>
        <v>3</v>
      </c>
      <c r="J5" s="51">
        <v>96.5</v>
      </c>
      <c r="K5" s="65">
        <f t="shared" si="0"/>
        <v>3</v>
      </c>
      <c r="L5" s="51">
        <v>101</v>
      </c>
      <c r="M5" s="65">
        <f t="shared" si="0"/>
        <v>3</v>
      </c>
      <c r="N5" s="51">
        <v>104.5</v>
      </c>
      <c r="O5" s="65">
        <f t="shared" si="0"/>
        <v>3</v>
      </c>
      <c r="P5" s="52">
        <v>106.5</v>
      </c>
      <c r="R5" s="67">
        <v>1</v>
      </c>
      <c r="S5" s="68">
        <v>84</v>
      </c>
    </row>
    <row r="6" spans="1:19" x14ac:dyDescent="0.25">
      <c r="A6" s="34">
        <v>4</v>
      </c>
      <c r="B6" s="51">
        <v>92.5</v>
      </c>
      <c r="C6" s="65">
        <f t="shared" si="0"/>
        <v>4</v>
      </c>
      <c r="D6" s="51">
        <v>94.5</v>
      </c>
      <c r="E6" s="65">
        <f t="shared" si="0"/>
        <v>4</v>
      </c>
      <c r="F6" s="51">
        <v>96.5</v>
      </c>
      <c r="G6" s="65">
        <f t="shared" si="0"/>
        <v>4</v>
      </c>
      <c r="H6" s="51">
        <v>100.5</v>
      </c>
      <c r="I6" s="65">
        <f t="shared" si="0"/>
        <v>4</v>
      </c>
      <c r="J6" s="51">
        <v>105</v>
      </c>
      <c r="K6" s="65">
        <f t="shared" si="0"/>
        <v>4</v>
      </c>
      <c r="L6" s="51">
        <v>109</v>
      </c>
      <c r="M6" s="65">
        <f t="shared" si="0"/>
        <v>4</v>
      </c>
      <c r="N6" s="51">
        <v>113.5</v>
      </c>
      <c r="O6" s="65">
        <f t="shared" si="0"/>
        <v>4</v>
      </c>
      <c r="P6" s="52">
        <v>115.5</v>
      </c>
      <c r="R6" s="67">
        <v>0</v>
      </c>
      <c r="S6" s="68">
        <v>50</v>
      </c>
    </row>
    <row r="7" spans="1:19" x14ac:dyDescent="0.25">
      <c r="A7" s="34">
        <v>5</v>
      </c>
      <c r="B7" s="51">
        <v>98</v>
      </c>
      <c r="C7" s="65">
        <f t="shared" si="0"/>
        <v>5</v>
      </c>
      <c r="D7" s="51">
        <v>100.5</v>
      </c>
      <c r="E7" s="65">
        <f t="shared" si="0"/>
        <v>5</v>
      </c>
      <c r="F7" s="51">
        <v>103</v>
      </c>
      <c r="G7" s="65">
        <f t="shared" si="0"/>
        <v>5</v>
      </c>
      <c r="H7" s="51">
        <v>108</v>
      </c>
      <c r="I7" s="65">
        <f t="shared" si="0"/>
        <v>5</v>
      </c>
      <c r="J7" s="51">
        <v>112</v>
      </c>
      <c r="K7" s="65">
        <f t="shared" si="0"/>
        <v>5</v>
      </c>
      <c r="L7" s="51">
        <v>117</v>
      </c>
      <c r="M7" s="65">
        <f t="shared" si="0"/>
        <v>5</v>
      </c>
      <c r="N7" s="51">
        <v>122</v>
      </c>
      <c r="O7" s="65">
        <f t="shared" si="0"/>
        <v>5</v>
      </c>
      <c r="P7" s="52">
        <v>123.5</v>
      </c>
      <c r="R7" s="67">
        <v>-1</v>
      </c>
      <c r="S7" s="68">
        <v>16</v>
      </c>
    </row>
    <row r="8" spans="1:19" x14ac:dyDescent="0.25">
      <c r="A8" s="34">
        <v>6</v>
      </c>
      <c r="B8" s="51">
        <v>103.5</v>
      </c>
      <c r="C8" s="65">
        <f t="shared" si="0"/>
        <v>6</v>
      </c>
      <c r="D8" s="51">
        <v>106</v>
      </c>
      <c r="E8" s="65">
        <f t="shared" si="0"/>
        <v>6</v>
      </c>
      <c r="F8" s="51">
        <v>108.5</v>
      </c>
      <c r="G8" s="65">
        <f t="shared" si="0"/>
        <v>6</v>
      </c>
      <c r="H8" s="51">
        <v>113.5</v>
      </c>
      <c r="I8" s="65">
        <f t="shared" si="0"/>
        <v>6</v>
      </c>
      <c r="J8" s="51">
        <v>119</v>
      </c>
      <c r="K8" s="65">
        <f t="shared" si="0"/>
        <v>6</v>
      </c>
      <c r="L8" s="51">
        <v>124</v>
      </c>
      <c r="M8" s="65">
        <f t="shared" si="0"/>
        <v>6</v>
      </c>
      <c r="N8" s="51">
        <v>129</v>
      </c>
      <c r="O8" s="65">
        <f t="shared" si="0"/>
        <v>6</v>
      </c>
      <c r="P8" s="52">
        <v>131.5</v>
      </c>
      <c r="R8" s="67">
        <v>-2</v>
      </c>
      <c r="S8" s="68">
        <v>2</v>
      </c>
    </row>
    <row r="9" spans="1:19" x14ac:dyDescent="0.25">
      <c r="A9" s="34">
        <v>7</v>
      </c>
      <c r="B9" s="51">
        <v>109</v>
      </c>
      <c r="C9" s="65">
        <f t="shared" si="0"/>
        <v>7</v>
      </c>
      <c r="D9" s="51">
        <v>112</v>
      </c>
      <c r="E9" s="65">
        <f t="shared" si="0"/>
        <v>7</v>
      </c>
      <c r="F9" s="51">
        <v>114.5</v>
      </c>
      <c r="G9" s="65">
        <f t="shared" si="0"/>
        <v>7</v>
      </c>
      <c r="H9" s="51">
        <v>120</v>
      </c>
      <c r="I9" s="65">
        <f t="shared" si="0"/>
        <v>7</v>
      </c>
      <c r="J9" s="51">
        <v>125.5</v>
      </c>
      <c r="K9" s="65">
        <f t="shared" si="0"/>
        <v>7</v>
      </c>
      <c r="L9" s="51">
        <v>131</v>
      </c>
      <c r="M9" s="65">
        <f t="shared" si="0"/>
        <v>7</v>
      </c>
      <c r="N9" s="51">
        <v>136</v>
      </c>
      <c r="O9" s="65">
        <f t="shared" si="0"/>
        <v>7</v>
      </c>
      <c r="P9" s="52">
        <v>139</v>
      </c>
      <c r="R9" s="67">
        <v>-2.5</v>
      </c>
      <c r="S9" s="68">
        <v>0.6</v>
      </c>
    </row>
    <row r="10" spans="1:19" x14ac:dyDescent="0.25">
      <c r="A10" s="34">
        <v>8</v>
      </c>
      <c r="B10" s="51">
        <v>114</v>
      </c>
      <c r="C10" s="65">
        <f t="shared" si="0"/>
        <v>8</v>
      </c>
      <c r="D10" s="51">
        <v>117</v>
      </c>
      <c r="E10" s="65">
        <f t="shared" si="0"/>
        <v>8</v>
      </c>
      <c r="F10" s="51">
        <v>120</v>
      </c>
      <c r="G10" s="65">
        <f t="shared" si="0"/>
        <v>8</v>
      </c>
      <c r="H10" s="51">
        <v>125.5</v>
      </c>
      <c r="I10" s="65">
        <f t="shared" si="0"/>
        <v>8</v>
      </c>
      <c r="J10" s="51">
        <v>131.5</v>
      </c>
      <c r="K10" s="65">
        <f t="shared" si="0"/>
        <v>8</v>
      </c>
      <c r="L10" s="51">
        <v>137</v>
      </c>
      <c r="M10" s="65">
        <f t="shared" si="0"/>
        <v>8</v>
      </c>
      <c r="N10" s="51">
        <v>143</v>
      </c>
      <c r="O10" s="65">
        <f t="shared" si="0"/>
        <v>8</v>
      </c>
      <c r="P10" s="52">
        <v>146</v>
      </c>
      <c r="R10" s="69">
        <v>-3</v>
      </c>
      <c r="S10" s="70">
        <v>0.1</v>
      </c>
    </row>
    <row r="11" spans="1:19" x14ac:dyDescent="0.25">
      <c r="A11" s="34">
        <v>9</v>
      </c>
      <c r="B11" s="51">
        <v>119</v>
      </c>
      <c r="C11" s="65">
        <f t="shared" si="0"/>
        <v>9</v>
      </c>
      <c r="D11" s="51">
        <v>122</v>
      </c>
      <c r="E11" s="65">
        <f t="shared" si="0"/>
        <v>9</v>
      </c>
      <c r="F11" s="51">
        <v>125</v>
      </c>
      <c r="G11" s="65">
        <f t="shared" si="0"/>
        <v>9</v>
      </c>
      <c r="H11" s="51">
        <v>131</v>
      </c>
      <c r="I11" s="65">
        <f t="shared" si="0"/>
        <v>9</v>
      </c>
      <c r="J11" s="51">
        <v>137</v>
      </c>
      <c r="K11" s="65">
        <f t="shared" si="0"/>
        <v>9</v>
      </c>
      <c r="L11" s="51">
        <v>143.5</v>
      </c>
      <c r="M11" s="65">
        <f t="shared" si="0"/>
        <v>9</v>
      </c>
      <c r="N11" s="51">
        <v>149.5</v>
      </c>
      <c r="O11" s="65">
        <f t="shared" si="0"/>
        <v>9</v>
      </c>
      <c r="P11" s="52">
        <v>152.5</v>
      </c>
    </row>
    <row r="12" spans="1:19" x14ac:dyDescent="0.25">
      <c r="A12" s="34">
        <v>10</v>
      </c>
      <c r="B12" s="51">
        <v>124</v>
      </c>
      <c r="C12" s="65">
        <f t="shared" si="0"/>
        <v>10</v>
      </c>
      <c r="D12" s="51">
        <v>126.5</v>
      </c>
      <c r="E12" s="65">
        <f t="shared" si="0"/>
        <v>10</v>
      </c>
      <c r="F12" s="51">
        <v>130.5</v>
      </c>
      <c r="G12" s="65">
        <f t="shared" si="0"/>
        <v>10</v>
      </c>
      <c r="H12" s="51">
        <v>137</v>
      </c>
      <c r="I12" s="65">
        <f t="shared" si="0"/>
        <v>10</v>
      </c>
      <c r="J12" s="51">
        <v>143.5</v>
      </c>
      <c r="K12" s="65">
        <f t="shared" si="0"/>
        <v>10</v>
      </c>
      <c r="L12" s="51">
        <v>150</v>
      </c>
      <c r="M12" s="65">
        <f t="shared" si="0"/>
        <v>10</v>
      </c>
      <c r="N12" s="51">
        <v>156.5</v>
      </c>
      <c r="O12" s="65">
        <f t="shared" si="0"/>
        <v>10</v>
      </c>
      <c r="P12" s="52">
        <v>159.5</v>
      </c>
    </row>
    <row r="13" spans="1:19" x14ac:dyDescent="0.25">
      <c r="A13" s="34">
        <v>11</v>
      </c>
      <c r="B13" s="51">
        <v>130</v>
      </c>
      <c r="C13" s="65">
        <f t="shared" si="0"/>
        <v>11</v>
      </c>
      <c r="D13" s="51">
        <v>133</v>
      </c>
      <c r="E13" s="65">
        <f t="shared" si="0"/>
        <v>11</v>
      </c>
      <c r="F13" s="51">
        <v>136.5</v>
      </c>
      <c r="G13" s="65">
        <f t="shared" si="0"/>
        <v>11</v>
      </c>
      <c r="H13" s="51">
        <v>143</v>
      </c>
      <c r="I13" s="65">
        <f t="shared" si="0"/>
        <v>11</v>
      </c>
      <c r="J13" s="51">
        <v>150</v>
      </c>
      <c r="K13" s="65">
        <f t="shared" si="0"/>
        <v>11</v>
      </c>
      <c r="L13" s="51">
        <v>156.6</v>
      </c>
      <c r="M13" s="65">
        <f t="shared" si="0"/>
        <v>11</v>
      </c>
      <c r="N13" s="51">
        <v>163</v>
      </c>
      <c r="O13" s="65">
        <f t="shared" si="0"/>
        <v>11</v>
      </c>
      <c r="P13" s="52">
        <v>166.5</v>
      </c>
    </row>
    <row r="14" spans="1:19" x14ac:dyDescent="0.25">
      <c r="A14" s="34">
        <v>12</v>
      </c>
      <c r="B14" s="51">
        <v>135</v>
      </c>
      <c r="C14" s="65">
        <f t="shared" si="0"/>
        <v>12</v>
      </c>
      <c r="D14" s="51">
        <v>138.5</v>
      </c>
      <c r="E14" s="65">
        <f t="shared" si="0"/>
        <v>12</v>
      </c>
      <c r="F14" s="51">
        <v>142</v>
      </c>
      <c r="G14" s="65">
        <f t="shared" si="0"/>
        <v>12</v>
      </c>
      <c r="H14" s="51">
        <v>149</v>
      </c>
      <c r="I14" s="65">
        <f t="shared" si="0"/>
        <v>12</v>
      </c>
      <c r="J14" s="51">
        <v>156</v>
      </c>
      <c r="K14" s="65">
        <f t="shared" si="0"/>
        <v>12</v>
      </c>
      <c r="L14" s="51">
        <v>162.5</v>
      </c>
      <c r="M14" s="65">
        <f t="shared" si="0"/>
        <v>12</v>
      </c>
      <c r="N14" s="51">
        <v>169.5</v>
      </c>
      <c r="O14" s="65">
        <f t="shared" si="0"/>
        <v>12</v>
      </c>
      <c r="P14" s="52">
        <v>173</v>
      </c>
    </row>
    <row r="15" spans="1:19" x14ac:dyDescent="0.25">
      <c r="A15" s="34">
        <v>13</v>
      </c>
      <c r="B15" s="51">
        <v>140</v>
      </c>
      <c r="C15" s="65">
        <f t="shared" si="0"/>
        <v>13</v>
      </c>
      <c r="D15" s="51">
        <v>143.5</v>
      </c>
      <c r="E15" s="65">
        <f t="shared" si="0"/>
        <v>13</v>
      </c>
      <c r="F15" s="51">
        <v>147</v>
      </c>
      <c r="G15" s="65">
        <f t="shared" si="0"/>
        <v>13</v>
      </c>
      <c r="H15" s="51">
        <v>154</v>
      </c>
      <c r="I15" s="65">
        <f t="shared" si="0"/>
        <v>13</v>
      </c>
      <c r="J15" s="51">
        <v>161</v>
      </c>
      <c r="K15" s="65">
        <f t="shared" si="0"/>
        <v>13</v>
      </c>
      <c r="L15" s="51">
        <v>168</v>
      </c>
      <c r="M15" s="65">
        <f t="shared" si="0"/>
        <v>13</v>
      </c>
      <c r="N15" s="51">
        <v>175</v>
      </c>
      <c r="O15" s="65">
        <f t="shared" si="0"/>
        <v>13</v>
      </c>
      <c r="P15" s="52">
        <v>178</v>
      </c>
    </row>
    <row r="16" spans="1:19" x14ac:dyDescent="0.25">
      <c r="A16" s="34">
        <v>14</v>
      </c>
      <c r="B16" s="51">
        <v>144</v>
      </c>
      <c r="C16" s="65">
        <f t="shared" si="0"/>
        <v>14</v>
      </c>
      <c r="D16" s="51">
        <v>147</v>
      </c>
      <c r="E16" s="65">
        <f t="shared" si="0"/>
        <v>14</v>
      </c>
      <c r="F16" s="51">
        <v>151</v>
      </c>
      <c r="G16" s="65">
        <f t="shared" si="0"/>
        <v>14</v>
      </c>
      <c r="H16" s="51">
        <v>157.5</v>
      </c>
      <c r="I16" s="65">
        <f t="shared" si="0"/>
        <v>14</v>
      </c>
      <c r="J16" s="51">
        <v>164.5</v>
      </c>
      <c r="K16" s="65">
        <f t="shared" si="0"/>
        <v>14</v>
      </c>
      <c r="L16" s="51">
        <v>171.5</v>
      </c>
      <c r="M16" s="65">
        <f t="shared" si="0"/>
        <v>14</v>
      </c>
      <c r="N16" s="51">
        <v>178</v>
      </c>
      <c r="O16" s="65">
        <f t="shared" si="0"/>
        <v>14</v>
      </c>
      <c r="P16" s="52">
        <v>181.5</v>
      </c>
    </row>
    <row r="17" spans="1:16" x14ac:dyDescent="0.25">
      <c r="A17" s="34">
        <v>15</v>
      </c>
      <c r="B17" s="51">
        <v>146.5</v>
      </c>
      <c r="C17" s="65">
        <f t="shared" si="0"/>
        <v>15</v>
      </c>
      <c r="D17" s="51">
        <v>150</v>
      </c>
      <c r="E17" s="65">
        <f t="shared" si="0"/>
        <v>15</v>
      </c>
      <c r="F17" s="51">
        <v>153.5</v>
      </c>
      <c r="G17" s="65">
        <f t="shared" si="0"/>
        <v>15</v>
      </c>
      <c r="H17" s="51">
        <v>160</v>
      </c>
      <c r="I17" s="65">
        <f t="shared" si="0"/>
        <v>15</v>
      </c>
      <c r="J17" s="51">
        <v>167</v>
      </c>
      <c r="K17" s="65">
        <f t="shared" si="0"/>
        <v>15</v>
      </c>
      <c r="L17" s="51">
        <v>173.5</v>
      </c>
      <c r="M17" s="65">
        <f t="shared" si="0"/>
        <v>15</v>
      </c>
      <c r="N17" s="51">
        <v>180.5</v>
      </c>
      <c r="O17" s="65">
        <f t="shared" si="0"/>
        <v>15</v>
      </c>
      <c r="P17" s="52">
        <v>184</v>
      </c>
    </row>
    <row r="18" spans="1:16" x14ac:dyDescent="0.25">
      <c r="A18" s="34">
        <v>16</v>
      </c>
      <c r="B18" s="51">
        <v>148.5</v>
      </c>
      <c r="C18" s="65">
        <f t="shared" si="0"/>
        <v>16</v>
      </c>
      <c r="D18" s="51">
        <v>151.5</v>
      </c>
      <c r="E18" s="65">
        <f t="shared" si="0"/>
        <v>16</v>
      </c>
      <c r="F18" s="51">
        <v>155</v>
      </c>
      <c r="G18" s="65">
        <f t="shared" si="0"/>
        <v>16</v>
      </c>
      <c r="H18" s="51">
        <v>161.5</v>
      </c>
      <c r="I18" s="65">
        <f t="shared" si="0"/>
        <v>16</v>
      </c>
      <c r="J18" s="51">
        <v>168.5</v>
      </c>
      <c r="K18" s="65">
        <f t="shared" si="0"/>
        <v>16</v>
      </c>
      <c r="L18" s="51">
        <v>175</v>
      </c>
      <c r="M18" s="65">
        <f t="shared" si="0"/>
        <v>16</v>
      </c>
      <c r="N18" s="51">
        <v>181.5</v>
      </c>
      <c r="O18" s="65">
        <f t="shared" si="0"/>
        <v>16</v>
      </c>
      <c r="P18" s="52">
        <v>185</v>
      </c>
    </row>
    <row r="19" spans="1:16" x14ac:dyDescent="0.25">
      <c r="A19" s="34">
        <v>17</v>
      </c>
      <c r="B19" s="51">
        <v>149.5</v>
      </c>
      <c r="C19" s="65">
        <f t="shared" si="0"/>
        <v>17</v>
      </c>
      <c r="D19" s="51">
        <v>152.5</v>
      </c>
      <c r="E19" s="65">
        <f t="shared" si="0"/>
        <v>17</v>
      </c>
      <c r="F19" s="51">
        <v>156</v>
      </c>
      <c r="G19" s="65">
        <f t="shared" si="0"/>
        <v>17</v>
      </c>
      <c r="H19" s="51">
        <v>162.5</v>
      </c>
      <c r="I19" s="65">
        <f t="shared" si="0"/>
        <v>17</v>
      </c>
      <c r="J19" s="51">
        <v>169</v>
      </c>
      <c r="K19" s="65">
        <f t="shared" si="0"/>
        <v>17</v>
      </c>
      <c r="L19" s="51">
        <v>175.8</v>
      </c>
      <c r="M19" s="65">
        <f t="shared" si="0"/>
        <v>17</v>
      </c>
      <c r="N19" s="51">
        <v>182.2</v>
      </c>
      <c r="O19" s="65">
        <f t="shared" si="0"/>
        <v>17</v>
      </c>
      <c r="P19" s="52">
        <v>185.8</v>
      </c>
    </row>
    <row r="20" spans="1:16" x14ac:dyDescent="0.25">
      <c r="A20" s="34">
        <v>18</v>
      </c>
      <c r="B20" s="51">
        <v>150.30000000000001</v>
      </c>
      <c r="C20" s="65">
        <f t="shared" si="0"/>
        <v>18</v>
      </c>
      <c r="D20" s="51">
        <v>153.5</v>
      </c>
      <c r="E20" s="65">
        <f t="shared" si="0"/>
        <v>18</v>
      </c>
      <c r="F20" s="51">
        <v>156.5</v>
      </c>
      <c r="G20" s="65">
        <f t="shared" si="0"/>
        <v>18</v>
      </c>
      <c r="H20" s="51">
        <v>163</v>
      </c>
      <c r="I20" s="65">
        <f t="shared" si="0"/>
        <v>18</v>
      </c>
      <c r="J20" s="51">
        <v>169.5</v>
      </c>
      <c r="K20" s="65">
        <f t="shared" si="0"/>
        <v>18</v>
      </c>
      <c r="L20" s="51">
        <v>176</v>
      </c>
      <c r="M20" s="65">
        <f t="shared" si="0"/>
        <v>18</v>
      </c>
      <c r="N20" s="51">
        <v>182.5</v>
      </c>
      <c r="O20" s="65">
        <f t="shared" si="0"/>
        <v>18</v>
      </c>
      <c r="P20" s="52">
        <v>186</v>
      </c>
    </row>
    <row r="21" spans="1:16" x14ac:dyDescent="0.25">
      <c r="A21" s="34">
        <v>19</v>
      </c>
      <c r="B21" s="51">
        <v>150.69999999999999</v>
      </c>
      <c r="C21" s="65">
        <f t="shared" si="0"/>
        <v>19</v>
      </c>
      <c r="D21" s="51">
        <v>154</v>
      </c>
      <c r="E21" s="65">
        <f t="shared" si="0"/>
        <v>19</v>
      </c>
      <c r="F21" s="51">
        <v>157</v>
      </c>
      <c r="G21" s="65">
        <f t="shared" si="0"/>
        <v>19</v>
      </c>
      <c r="H21" s="51">
        <v>163.5</v>
      </c>
      <c r="I21" s="65">
        <f t="shared" si="0"/>
        <v>19</v>
      </c>
      <c r="J21" s="51">
        <v>170</v>
      </c>
      <c r="K21" s="65">
        <f t="shared" si="0"/>
        <v>19</v>
      </c>
      <c r="L21" s="51">
        <v>176.5</v>
      </c>
      <c r="M21" s="65">
        <f t="shared" si="0"/>
        <v>19</v>
      </c>
      <c r="N21" s="51">
        <v>183</v>
      </c>
      <c r="O21" s="65">
        <f t="shared" si="0"/>
        <v>19</v>
      </c>
      <c r="P21" s="52">
        <v>186.1</v>
      </c>
    </row>
    <row r="22" spans="1:16" x14ac:dyDescent="0.25">
      <c r="A22" s="34">
        <v>20</v>
      </c>
      <c r="B22" s="51">
        <v>151</v>
      </c>
      <c r="C22" s="65">
        <f t="shared" si="0"/>
        <v>20</v>
      </c>
      <c r="D22" s="51">
        <v>154.19999999999999</v>
      </c>
      <c r="E22" s="65">
        <f t="shared" si="0"/>
        <v>20</v>
      </c>
      <c r="F22" s="51">
        <v>157.19999999999999</v>
      </c>
      <c r="G22" s="65">
        <f t="shared" si="0"/>
        <v>20</v>
      </c>
      <c r="H22" s="51">
        <v>163.80000000000001</v>
      </c>
      <c r="I22" s="65">
        <f t="shared" si="0"/>
        <v>20</v>
      </c>
      <c r="J22" s="51">
        <v>170.3</v>
      </c>
      <c r="K22" s="65">
        <f t="shared" si="0"/>
        <v>20</v>
      </c>
      <c r="L22" s="51">
        <v>176.8</v>
      </c>
      <c r="M22" s="65">
        <f t="shared" si="0"/>
        <v>20</v>
      </c>
      <c r="N22" s="51">
        <v>183.2</v>
      </c>
      <c r="O22" s="65">
        <f t="shared" si="0"/>
        <v>20</v>
      </c>
      <c r="P22" s="52">
        <v>186.2</v>
      </c>
    </row>
    <row r="23" spans="1:16" ht="15.75" thickBot="1" x14ac:dyDescent="0.3">
      <c r="A23" s="71">
        <v>21</v>
      </c>
      <c r="B23" s="57">
        <v>151.19999999999999</v>
      </c>
      <c r="C23" s="72">
        <f t="shared" si="0"/>
        <v>21</v>
      </c>
      <c r="D23" s="57">
        <v>154.4</v>
      </c>
      <c r="E23" s="72">
        <f t="shared" si="0"/>
        <v>21</v>
      </c>
      <c r="F23" s="57">
        <v>157.4</v>
      </c>
      <c r="G23" s="72">
        <f t="shared" si="0"/>
        <v>21</v>
      </c>
      <c r="H23" s="57">
        <v>164</v>
      </c>
      <c r="I23" s="72">
        <f t="shared" si="0"/>
        <v>21</v>
      </c>
      <c r="J23" s="57">
        <v>170.5</v>
      </c>
      <c r="K23" s="72">
        <f t="shared" si="0"/>
        <v>21</v>
      </c>
      <c r="L23" s="57">
        <v>176.9</v>
      </c>
      <c r="M23" s="72">
        <f t="shared" si="0"/>
        <v>21</v>
      </c>
      <c r="N23" s="57">
        <v>184.3</v>
      </c>
      <c r="O23" s="72">
        <f t="shared" si="0"/>
        <v>21</v>
      </c>
      <c r="P23" s="58">
        <v>186.3</v>
      </c>
    </row>
  </sheetData>
  <sheetProtection sheet="1" objects="1" scenarios="1"/>
  <mergeCells count="1">
    <mergeCell ref="A1:P1"/>
  </mergeCells>
  <pageMargins left="0.7" right="0.7" top="0.75" bottom="0.75"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FF"/>
  </sheetPr>
  <dimension ref="A1:K19"/>
  <sheetViews>
    <sheetView workbookViewId="0">
      <selection activeCell="K47" sqref="K47:K48"/>
    </sheetView>
  </sheetViews>
  <sheetFormatPr defaultRowHeight="15" x14ac:dyDescent="0.25"/>
  <cols>
    <col min="1" max="1" width="9.140625" style="59"/>
  </cols>
  <sheetData>
    <row r="1" spans="1:11" x14ac:dyDescent="0.25">
      <c r="A1" s="85"/>
      <c r="B1" s="39" t="s">
        <v>35</v>
      </c>
      <c r="C1" s="40" t="s">
        <v>50</v>
      </c>
      <c r="D1" s="39" t="s">
        <v>37</v>
      </c>
      <c r="E1" s="40" t="s">
        <v>38</v>
      </c>
      <c r="F1" s="39" t="s">
        <v>39</v>
      </c>
      <c r="G1" s="40" t="s">
        <v>40</v>
      </c>
      <c r="H1" s="39" t="s">
        <v>41</v>
      </c>
      <c r="I1" s="40" t="s">
        <v>42</v>
      </c>
      <c r="J1" s="39" t="s">
        <v>43</v>
      </c>
      <c r="K1" s="41" t="s">
        <v>44</v>
      </c>
    </row>
    <row r="2" spans="1:11" x14ac:dyDescent="0.25">
      <c r="A2" s="42">
        <v>2</v>
      </c>
      <c r="B2" s="78">
        <f>'BMI V norm'!B4-'BMI V norm'!B3</f>
        <v>-0.19999999999999929</v>
      </c>
      <c r="C2" s="79">
        <f>'BMI V norm'!B3-'BMI V - lijnstukken'!B2*'BMI V - lijnstukken'!$A2</f>
        <v>13.599999999999998</v>
      </c>
      <c r="D2" s="75">
        <f>'BMI V norm'!D4-'BMI V norm'!D3</f>
        <v>-0.30000000000000071</v>
      </c>
      <c r="E2" s="76">
        <f>'BMI V norm'!D3-'BMI V - lijnstukken'!D2*'BMI V - lijnstukken'!$A2</f>
        <v>14.500000000000002</v>
      </c>
      <c r="F2" s="75">
        <f>'BMI V norm'!F4-'BMI V norm'!F3</f>
        <v>-0.34999999999999787</v>
      </c>
      <c r="G2" s="76">
        <f>'BMI V norm'!F3-'BMI V - lijnstukken'!F2*'BMI V - lijnstukken'!$A2</f>
        <v>16.649999999999995</v>
      </c>
      <c r="H2" s="75">
        <f>'BMI V norm'!H4-'BMI V norm'!H3</f>
        <v>-0.39999999999999858</v>
      </c>
      <c r="I2" s="76">
        <f>'BMI V norm'!H3-'BMI V - lijnstukken'!H2*'BMI V - lijnstukken'!$A2</f>
        <v>18.799999999999997</v>
      </c>
      <c r="J2" s="75">
        <f>'BMI V norm'!J4-'BMI V norm'!J3</f>
        <v>-0.5</v>
      </c>
      <c r="K2" s="77">
        <f>'BMI V norm'!J3-'BMI V - lijnstukken'!J2*'BMI V - lijnstukken'!$A2</f>
        <v>20.8</v>
      </c>
    </row>
    <row r="3" spans="1:11" x14ac:dyDescent="0.25">
      <c r="A3" s="42">
        <v>3</v>
      </c>
      <c r="B3" s="78">
        <f>'BMI V norm'!B5-'BMI V norm'!B4</f>
        <v>-0.30000000000000071</v>
      </c>
      <c r="C3" s="79">
        <f>'BMI V norm'!B4-'BMI V - lijnstukken'!B3*'BMI V - lijnstukken'!$A3</f>
        <v>13.900000000000002</v>
      </c>
      <c r="D3" s="78">
        <f>'BMI V norm'!D5-'BMI V norm'!D4</f>
        <v>-0.29999999999999893</v>
      </c>
      <c r="E3" s="79">
        <f>'BMI V norm'!D4-'BMI V - lijnstukken'!D3*'BMI V - lijnstukken'!$A3</f>
        <v>14.499999999999996</v>
      </c>
      <c r="F3" s="78">
        <f>'BMI V norm'!F5-'BMI V norm'!F4</f>
        <v>-0.30000000000000071</v>
      </c>
      <c r="G3" s="79">
        <f>'BMI V norm'!F4-'BMI V - lijnstukken'!F3*'BMI V - lijnstukken'!$A3</f>
        <v>16.500000000000004</v>
      </c>
      <c r="H3" s="78">
        <f>'BMI V norm'!H5-'BMI V norm'!H4</f>
        <v>-0.30000000000000071</v>
      </c>
      <c r="I3" s="79">
        <f>'BMI V norm'!H4-'BMI V - lijnstukken'!H3*'BMI V - lijnstukken'!$A3</f>
        <v>18.500000000000004</v>
      </c>
      <c r="J3" s="78">
        <f>'BMI V norm'!J5-'BMI V norm'!J4</f>
        <v>-0.19999999999999929</v>
      </c>
      <c r="K3" s="37">
        <f>'BMI V norm'!J4-'BMI V - lijnstukken'!J3*'BMI V - lijnstukken'!$A3</f>
        <v>19.899999999999999</v>
      </c>
    </row>
    <row r="4" spans="1:11" x14ac:dyDescent="0.25">
      <c r="A4" s="42">
        <v>4</v>
      </c>
      <c r="B4" s="78">
        <f>'BMI V norm'!B6-'BMI V norm'!B5</f>
        <v>-0.19999999999999929</v>
      </c>
      <c r="C4" s="79">
        <f>'BMI V norm'!B5-'BMI V - lijnstukken'!B4*'BMI V - lijnstukken'!$A4</f>
        <v>13.499999999999996</v>
      </c>
      <c r="D4" s="78">
        <f>'BMI V norm'!D6-'BMI V norm'!D5</f>
        <v>-0.20000000000000107</v>
      </c>
      <c r="E4" s="79">
        <f>'BMI V norm'!D5-'BMI V - lijnstukken'!D4*'BMI V - lijnstukken'!$A4</f>
        <v>14.100000000000005</v>
      </c>
      <c r="F4" s="78">
        <f>'BMI V norm'!F6-'BMI V norm'!F5</f>
        <v>9.9999999999997868E-2</v>
      </c>
      <c r="G4" s="79">
        <f>'BMI V norm'!F5-'BMI V - lijnstukken'!F4*'BMI V - lijnstukken'!$A4</f>
        <v>14.900000000000009</v>
      </c>
      <c r="H4" s="78">
        <f>'BMI V norm'!H6-'BMI V norm'!H5</f>
        <v>0.39999999999999858</v>
      </c>
      <c r="I4" s="79">
        <f>'BMI V norm'!H5-'BMI V - lijnstukken'!H4*'BMI V - lijnstukken'!$A4</f>
        <v>15.700000000000006</v>
      </c>
      <c r="J4" s="78">
        <f>'BMI V norm'!J6-'BMI V norm'!J5</f>
        <v>9.9999999999997868E-2</v>
      </c>
      <c r="K4" s="37">
        <f>'BMI V norm'!J5-'BMI V - lijnstukken'!J4*'BMI V - lijnstukken'!$A4</f>
        <v>18.70000000000001</v>
      </c>
    </row>
    <row r="5" spans="1:11" x14ac:dyDescent="0.25">
      <c r="A5" s="42">
        <v>5</v>
      </c>
      <c r="B5" s="78">
        <f>'BMI V norm'!B7-'BMI V norm'!B6</f>
        <v>-0.19999999999999929</v>
      </c>
      <c r="C5" s="79">
        <f>'BMI V norm'!B6-'BMI V - lijnstukken'!B5*'BMI V - lijnstukken'!$A5</f>
        <v>13.499999999999996</v>
      </c>
      <c r="D5" s="78">
        <f>'BMI V norm'!D7-'BMI V norm'!D6</f>
        <v>-0.15000000000000036</v>
      </c>
      <c r="E5" s="79">
        <f>'BMI V norm'!D6-'BMI V - lijnstukken'!D5*'BMI V - lijnstukken'!$A5</f>
        <v>13.850000000000001</v>
      </c>
      <c r="F5" s="78">
        <f>'BMI V norm'!F7-'BMI V norm'!F6</f>
        <v>-0.22499999999999964</v>
      </c>
      <c r="G5" s="79">
        <f>'BMI V norm'!F6-'BMI V - lijnstukken'!F5*'BMI V - lijnstukken'!$A5</f>
        <v>16.524999999999999</v>
      </c>
      <c r="H5" s="78">
        <f>'BMI V norm'!H7-'BMI V norm'!H6</f>
        <v>-0.30000000000000071</v>
      </c>
      <c r="I5" s="79">
        <f>'BMI V norm'!H6-'BMI V - lijnstukken'!H5*'BMI V - lijnstukken'!$A5</f>
        <v>19.200000000000003</v>
      </c>
      <c r="J5" s="78">
        <f>'BMI V norm'!J7-'BMI V norm'!J6</f>
        <v>0.5</v>
      </c>
      <c r="K5" s="37">
        <f>'BMI V norm'!J6-'BMI V - lijnstukken'!J5*'BMI V - lijnstukken'!$A5</f>
        <v>16.7</v>
      </c>
    </row>
    <row r="6" spans="1:11" x14ac:dyDescent="0.25">
      <c r="A6" s="42">
        <v>6</v>
      </c>
      <c r="B6" s="78">
        <f>'BMI V norm'!B8-'BMI V norm'!B7</f>
        <v>-5.0000000000000711E-2</v>
      </c>
      <c r="C6" s="79">
        <f>'BMI V norm'!B7-'BMI V - lijnstukken'!B6*'BMI V - lijnstukken'!$A6</f>
        <v>12.600000000000005</v>
      </c>
      <c r="D6" s="78">
        <f>'BMI V norm'!D8-'BMI V norm'!D7</f>
        <v>-4.9999999999998934E-2</v>
      </c>
      <c r="E6" s="79">
        <f>'BMI V norm'!D7-'BMI V - lijnstukken'!D6*'BMI V - lijnstukken'!$A6</f>
        <v>13.249999999999993</v>
      </c>
      <c r="F6" s="78">
        <f>'BMI V norm'!F8-'BMI V norm'!F7</f>
        <v>0.17500000000000249</v>
      </c>
      <c r="G6" s="79">
        <f>'BMI V norm'!F7-'BMI V - lijnstukken'!F6*'BMI V - lijnstukken'!$A6</f>
        <v>14.124999999999984</v>
      </c>
      <c r="H6" s="78">
        <f>'BMI V norm'!H8-'BMI V norm'!H7</f>
        <v>0.40000000000000213</v>
      </c>
      <c r="I6" s="79">
        <f>'BMI V norm'!H7-'BMI V - lijnstukken'!H6*'BMI V - lijnstukken'!$A6</f>
        <v>14.999999999999986</v>
      </c>
      <c r="J6" s="78">
        <f>'BMI V norm'!J8-'BMI V norm'!J7</f>
        <v>0.80000000000000071</v>
      </c>
      <c r="K6" s="37">
        <f>'BMI V norm'!J7-'BMI V - lijnstukken'!J6*'BMI V - lijnstukken'!$A6</f>
        <v>14.899999999999995</v>
      </c>
    </row>
    <row r="7" spans="1:11" x14ac:dyDescent="0.25">
      <c r="A7" s="42">
        <v>7</v>
      </c>
      <c r="B7" s="78">
        <f>'BMI V norm'!B9-'BMI V norm'!B8</f>
        <v>5.0000000000000711E-2</v>
      </c>
      <c r="C7" s="79">
        <f>'BMI V norm'!B8-'BMI V - lijnstukken'!B7*'BMI V - lijnstukken'!$A7</f>
        <v>11.899999999999995</v>
      </c>
      <c r="D7" s="78">
        <f>'BMI V norm'!D9-'BMI V norm'!D8</f>
        <v>9.9999999999999645E-2</v>
      </c>
      <c r="E7" s="79">
        <f>'BMI V norm'!D8-'BMI V - lijnstukken'!D7*'BMI V - lijnstukken'!$A7</f>
        <v>12.200000000000003</v>
      </c>
      <c r="F7" s="78">
        <f>'BMI V norm'!F9-'BMI V norm'!F8</f>
        <v>0.29999999999999893</v>
      </c>
      <c r="G7" s="79">
        <f>'BMI V norm'!F8-'BMI V - lijnstukken'!F7*'BMI V - lijnstukken'!$A7</f>
        <v>13.250000000000009</v>
      </c>
      <c r="H7" s="78">
        <f>'BMI V norm'!H9-'BMI V norm'!H8</f>
        <v>0.5</v>
      </c>
      <c r="I7" s="79">
        <f>'BMI V norm'!H8-'BMI V - lijnstukken'!H7*'BMI V - lijnstukken'!$A7</f>
        <v>14.3</v>
      </c>
      <c r="J7" s="78">
        <f>'BMI V norm'!J9-'BMI V norm'!J8</f>
        <v>1</v>
      </c>
      <c r="K7" s="37">
        <f>'BMI V norm'!J8-'BMI V - lijnstukken'!J7*'BMI V - lijnstukken'!$A7</f>
        <v>13.5</v>
      </c>
    </row>
    <row r="8" spans="1:11" x14ac:dyDescent="0.25">
      <c r="A8" s="42">
        <v>8</v>
      </c>
      <c r="B8" s="78">
        <f>'BMI V norm'!B10-'BMI V norm'!B9</f>
        <v>0.14999999999999858</v>
      </c>
      <c r="C8" s="79">
        <f>'BMI V norm'!B9-'BMI V - lijnstukken'!B8*'BMI V - lijnstukken'!$A8</f>
        <v>11.100000000000012</v>
      </c>
      <c r="D8" s="78">
        <f>'BMI V norm'!D10-'BMI V norm'!D9</f>
        <v>0.19999999999999929</v>
      </c>
      <c r="E8" s="79">
        <f>'BMI V norm'!D9-'BMI V - lijnstukken'!D8*'BMI V - lijnstukken'!$A8</f>
        <v>11.400000000000006</v>
      </c>
      <c r="F8" s="78">
        <f>'BMI V norm'!F10-'BMI V norm'!F9</f>
        <v>0.49999999999999822</v>
      </c>
      <c r="G8" s="79">
        <f>'BMI V norm'!F9-'BMI V - lijnstukken'!F8*'BMI V - lijnstukken'!$A8</f>
        <v>11.650000000000015</v>
      </c>
      <c r="H8" s="78">
        <f>'BMI V norm'!H10-'BMI V norm'!H9</f>
        <v>0.80000000000000071</v>
      </c>
      <c r="I8" s="79">
        <f>'BMI V norm'!H9-'BMI V - lijnstukken'!H8*'BMI V - lijnstukken'!$A8</f>
        <v>11.899999999999995</v>
      </c>
      <c r="J8" s="78">
        <f>'BMI V norm'!J10-'BMI V norm'!J9</f>
        <v>1.3000000000000007</v>
      </c>
      <c r="K8" s="37">
        <f>'BMI V norm'!J9-'BMI V - lijnstukken'!J8*'BMI V - lijnstukken'!$A8</f>
        <v>11.099999999999994</v>
      </c>
    </row>
    <row r="9" spans="1:11" x14ac:dyDescent="0.25">
      <c r="A9" s="42">
        <v>9</v>
      </c>
      <c r="B9" s="78">
        <f>'BMI V norm'!B11-'BMI V norm'!B10</f>
        <v>0.15000000000000036</v>
      </c>
      <c r="C9" s="79">
        <f>'BMI V norm'!B10-'BMI V - lijnstukken'!B9*'BMI V - lijnstukken'!$A9</f>
        <v>11.099999999999996</v>
      </c>
      <c r="D9" s="78">
        <f>'BMI V norm'!D11-'BMI V norm'!D10</f>
        <v>0.20000000000000107</v>
      </c>
      <c r="E9" s="79">
        <f>'BMI V norm'!D10-'BMI V - lijnstukken'!D9*'BMI V - lijnstukken'!$A9</f>
        <v>11.39999999999999</v>
      </c>
      <c r="F9" s="78">
        <f>'BMI V norm'!F11-'BMI V norm'!F10</f>
        <v>0.45000000000000284</v>
      </c>
      <c r="G9" s="79">
        <f>'BMI V norm'!F10-'BMI V - lijnstukken'!F9*'BMI V - lijnstukken'!$A9</f>
        <v>12.099999999999973</v>
      </c>
      <c r="H9" s="78">
        <f>'BMI V norm'!H11-'BMI V norm'!H10</f>
        <v>0.69999999999999929</v>
      </c>
      <c r="I9" s="79">
        <f>'BMI V norm'!H10-'BMI V - lijnstukken'!H9*'BMI V - lijnstukken'!$A9</f>
        <v>12.800000000000008</v>
      </c>
      <c r="J9" s="78">
        <f>'BMI V norm'!J11-'BMI V norm'!J10</f>
        <v>1.3000000000000007</v>
      </c>
      <c r="K9" s="37">
        <f>'BMI V norm'!J10-'BMI V - lijnstukken'!J9*'BMI V - lijnstukken'!$A9</f>
        <v>11.099999999999994</v>
      </c>
    </row>
    <row r="10" spans="1:11" x14ac:dyDescent="0.25">
      <c r="A10" s="42">
        <v>10</v>
      </c>
      <c r="B10" s="78">
        <f>'BMI V norm'!B12-'BMI V norm'!B11</f>
        <v>0.34999999999999964</v>
      </c>
      <c r="C10" s="79">
        <f>'BMI V norm'!B11-'BMI V - lijnstukken'!B10*'BMI V - lijnstukken'!$A10</f>
        <v>9.1000000000000032</v>
      </c>
      <c r="D10" s="78">
        <f>'BMI V norm'!D12-'BMI V norm'!D11</f>
        <v>0.40000000000000036</v>
      </c>
      <c r="E10" s="79">
        <f>'BMI V norm'!D11-'BMI V - lijnstukken'!D10*'BMI V - lijnstukken'!$A10</f>
        <v>9.3999999999999968</v>
      </c>
      <c r="F10" s="78">
        <f>'BMI V norm'!F12-'BMI V norm'!F11</f>
        <v>0.64999999999999858</v>
      </c>
      <c r="G10" s="79">
        <f>'BMI V norm'!F11-'BMI V - lijnstukken'!F10*'BMI V - lijnstukken'!$A10</f>
        <v>10.100000000000016</v>
      </c>
      <c r="H10" s="78">
        <f>'BMI V norm'!H12-'BMI V norm'!H11</f>
        <v>0.89999999999999858</v>
      </c>
      <c r="I10" s="79">
        <f>'BMI V norm'!H11-'BMI V - lijnstukken'!H10*'BMI V - lijnstukken'!$A10</f>
        <v>10.800000000000015</v>
      </c>
      <c r="J10" s="78">
        <f>'BMI V norm'!J12-'BMI V norm'!J11</f>
        <v>1.2999999999999972</v>
      </c>
      <c r="K10" s="37">
        <f>'BMI V norm'!J11-'BMI V - lijnstukken'!J10*'BMI V - lijnstukken'!$A10</f>
        <v>11.10000000000003</v>
      </c>
    </row>
    <row r="11" spans="1:11" x14ac:dyDescent="0.25">
      <c r="A11" s="42">
        <v>11</v>
      </c>
      <c r="B11" s="78">
        <f>'BMI V norm'!B13-'BMI V norm'!B12</f>
        <v>0.45000000000000107</v>
      </c>
      <c r="C11" s="79">
        <f>'BMI V norm'!B12-'BMI V - lijnstukken'!B11*'BMI V - lijnstukken'!$A11</f>
        <v>7.9999999999999876</v>
      </c>
      <c r="D11" s="78">
        <f>'BMI V norm'!D13-'BMI V norm'!D12</f>
        <v>0.5</v>
      </c>
      <c r="E11" s="79">
        <f>'BMI V norm'!D12-'BMI V - lijnstukken'!D11*'BMI V - lijnstukken'!$A11</f>
        <v>8.3000000000000007</v>
      </c>
      <c r="F11" s="78">
        <f>'BMI V norm'!F13-'BMI V norm'!F12</f>
        <v>0.75</v>
      </c>
      <c r="G11" s="79">
        <f>'BMI V norm'!F12-'BMI V - lijnstukken'!F11*'BMI V - lijnstukken'!$A11</f>
        <v>9</v>
      </c>
      <c r="H11" s="78">
        <f>'BMI V norm'!H13-'BMI V norm'!H12</f>
        <v>1</v>
      </c>
      <c r="I11" s="79">
        <f>'BMI V norm'!H12-'BMI V - lijnstukken'!H11*'BMI V - lijnstukken'!$A11</f>
        <v>9.6999999999999993</v>
      </c>
      <c r="J11" s="78">
        <f>'BMI V norm'!J13-'BMI V norm'!J12</f>
        <v>1.3000000000000007</v>
      </c>
      <c r="K11" s="37">
        <f>'BMI V norm'!J12-'BMI V - lijnstukken'!J11*'BMI V - lijnstukken'!$A11</f>
        <v>11.099999999999991</v>
      </c>
    </row>
    <row r="12" spans="1:11" x14ac:dyDescent="0.25">
      <c r="A12" s="42">
        <v>12</v>
      </c>
      <c r="B12" s="78">
        <f>'BMI V norm'!B14-'BMI V norm'!B13</f>
        <v>0.5</v>
      </c>
      <c r="C12" s="79">
        <f>'BMI V norm'!B13-'BMI V - lijnstukken'!B12*'BMI V - lijnstukken'!$A12</f>
        <v>7.4</v>
      </c>
      <c r="D12" s="78">
        <f>'BMI V norm'!D14-'BMI V norm'!D13</f>
        <v>0.5</v>
      </c>
      <c r="E12" s="79">
        <f>'BMI V norm'!D13-'BMI V - lijnstukken'!D12*'BMI V - lijnstukken'!$A12</f>
        <v>8.3000000000000007</v>
      </c>
      <c r="F12" s="78">
        <f>'BMI V norm'!F14-'BMI V norm'!F13</f>
        <v>0.70000000000000284</v>
      </c>
      <c r="G12" s="79">
        <f>'BMI V norm'!F13-'BMI V - lijnstukken'!F12*'BMI V - lijnstukken'!$A12</f>
        <v>9.5999999999999659</v>
      </c>
      <c r="H12" s="78">
        <f>'BMI V norm'!H14-'BMI V norm'!H13</f>
        <v>0.90000000000000213</v>
      </c>
      <c r="I12" s="79">
        <f>'BMI V norm'!H13-'BMI V - lijnstukken'!H12*'BMI V - lijnstukken'!$A12</f>
        <v>10.899999999999974</v>
      </c>
      <c r="J12" s="78">
        <f>'BMI V norm'!J14-'BMI V norm'!J13</f>
        <v>1.1000000000000014</v>
      </c>
      <c r="K12" s="37">
        <f>'BMI V norm'!J13-'BMI V - lijnstukken'!J12*'BMI V - lijnstukken'!$A12</f>
        <v>13.499999999999982</v>
      </c>
    </row>
    <row r="13" spans="1:11" x14ac:dyDescent="0.25">
      <c r="A13" s="42">
        <v>13</v>
      </c>
      <c r="B13" s="78">
        <f>'BMI V norm'!B15-'BMI V norm'!B14</f>
        <v>0.59999999999999964</v>
      </c>
      <c r="C13" s="79">
        <f>'BMI V norm'!B14-'BMI V - lijnstukken'!B13*'BMI V - lijnstukken'!$A13</f>
        <v>6.100000000000005</v>
      </c>
      <c r="D13" s="78">
        <f>'BMI V norm'!D15-'BMI V norm'!D14</f>
        <v>0.59999999999999964</v>
      </c>
      <c r="E13" s="79">
        <f>'BMI V norm'!D14-'BMI V - lijnstukken'!D13*'BMI V - lijnstukken'!$A13</f>
        <v>7.0000000000000053</v>
      </c>
      <c r="F13" s="78">
        <f>'BMI V norm'!F15-'BMI V norm'!F14</f>
        <v>0.64999999999999858</v>
      </c>
      <c r="G13" s="79">
        <f>'BMI V norm'!F14-'BMI V - lijnstukken'!F13*'BMI V - lijnstukken'!$A13</f>
        <v>10.250000000000021</v>
      </c>
      <c r="H13" s="78">
        <f>'BMI V norm'!H15-'BMI V norm'!H14</f>
        <v>0.69999999999999929</v>
      </c>
      <c r="I13" s="79">
        <f>'BMI V norm'!H14-'BMI V - lijnstukken'!H13*'BMI V - lijnstukken'!$A13</f>
        <v>13.500000000000011</v>
      </c>
      <c r="J13" s="78">
        <f>'BMI V norm'!J15-'BMI V norm'!J14</f>
        <v>0.69999999999999929</v>
      </c>
      <c r="K13" s="37">
        <f>'BMI V norm'!J14-'BMI V - lijnstukken'!J13*'BMI V - lijnstukken'!$A13</f>
        <v>18.70000000000001</v>
      </c>
    </row>
    <row r="14" spans="1:11" x14ac:dyDescent="0.25">
      <c r="A14" s="42">
        <v>14</v>
      </c>
      <c r="B14" s="78">
        <f>'BMI V norm'!B16-'BMI V norm'!B15</f>
        <v>0.5</v>
      </c>
      <c r="C14" s="79">
        <f>'BMI V norm'!B15-'BMI V - lijnstukken'!B14*'BMI V - lijnstukken'!$A14</f>
        <v>7.5</v>
      </c>
      <c r="D14" s="78">
        <f>'BMI V norm'!D16-'BMI V norm'!D15</f>
        <v>0.59999999999999964</v>
      </c>
      <c r="E14" s="79">
        <f>'BMI V norm'!D15-'BMI V - lijnstukken'!D14*'BMI V - lijnstukken'!$A14</f>
        <v>7.0000000000000053</v>
      </c>
      <c r="F14" s="78">
        <f>'BMI V norm'!F16-'BMI V norm'!F15</f>
        <v>0.625</v>
      </c>
      <c r="G14" s="79">
        <f>'BMI V norm'!F15-'BMI V - lijnstukken'!F14*'BMI V - lijnstukken'!$A14</f>
        <v>10.600000000000001</v>
      </c>
      <c r="H14" s="78">
        <f>'BMI V norm'!H16-'BMI V norm'!H15</f>
        <v>0.64999999999999858</v>
      </c>
      <c r="I14" s="79">
        <f>'BMI V norm'!H15-'BMI V - lijnstukken'!H14*'BMI V - lijnstukken'!$A14</f>
        <v>14.200000000000021</v>
      </c>
      <c r="J14" s="78">
        <f>'BMI V norm'!J16-'BMI V norm'!J15</f>
        <v>0.69999999999999929</v>
      </c>
      <c r="K14" s="37">
        <f>'BMI V norm'!J15-'BMI V - lijnstukken'!J14*'BMI V - lijnstukken'!$A14</f>
        <v>18.70000000000001</v>
      </c>
    </row>
    <row r="15" spans="1:11" x14ac:dyDescent="0.25">
      <c r="A15" s="42">
        <v>15</v>
      </c>
      <c r="B15" s="78">
        <f>'BMI V norm'!B17-'BMI V norm'!B16</f>
        <v>0.5</v>
      </c>
      <c r="C15" s="79">
        <f>'BMI V norm'!B16-'BMI V - lijnstukken'!B15*'BMI V - lijnstukken'!$A15</f>
        <v>7.5</v>
      </c>
      <c r="D15" s="78">
        <f>'BMI V norm'!D17-'BMI V norm'!D16</f>
        <v>0.5</v>
      </c>
      <c r="E15" s="79">
        <f>'BMI V norm'!D16-'BMI V - lijnstukken'!D15*'BMI V - lijnstukken'!$A15</f>
        <v>8.5</v>
      </c>
      <c r="F15" s="78">
        <f>'BMI V norm'!F17-'BMI V norm'!F16</f>
        <v>0.47499999999999787</v>
      </c>
      <c r="G15" s="79">
        <f>'BMI V norm'!F16-'BMI V - lijnstukken'!F15*'BMI V - lijnstukken'!$A15</f>
        <v>12.850000000000033</v>
      </c>
      <c r="H15" s="78">
        <f>'BMI V norm'!H17-'BMI V norm'!H16</f>
        <v>0.44999999999999929</v>
      </c>
      <c r="I15" s="79">
        <f>'BMI V norm'!H16-'BMI V - lijnstukken'!H15*'BMI V - lijnstukken'!$A15</f>
        <v>17.20000000000001</v>
      </c>
      <c r="J15" s="78">
        <f>'BMI V norm'!J17-'BMI V norm'!J16</f>
        <v>0.19999999999999929</v>
      </c>
      <c r="K15" s="37">
        <f>'BMI V norm'!J16-'BMI V - lijnstukken'!J15*'BMI V - lijnstukken'!$A15</f>
        <v>26.20000000000001</v>
      </c>
    </row>
    <row r="16" spans="1:11" x14ac:dyDescent="0.25">
      <c r="A16" s="42">
        <v>16</v>
      </c>
      <c r="B16" s="78">
        <f>'BMI V norm'!B18-'BMI V norm'!B17</f>
        <v>9.9999999999999645E-2</v>
      </c>
      <c r="C16" s="79">
        <f>'BMI V norm'!B17-'BMI V - lijnstukken'!B16*'BMI V - lijnstukken'!$A16</f>
        <v>13.900000000000006</v>
      </c>
      <c r="D16" s="78">
        <f>'BMI V norm'!D18-'BMI V norm'!D17</f>
        <v>0.30000000000000071</v>
      </c>
      <c r="E16" s="79">
        <f>'BMI V norm'!D17-'BMI V - lijnstukken'!D16*'BMI V - lijnstukken'!$A16</f>
        <v>11.699999999999989</v>
      </c>
      <c r="F16" s="78">
        <f>'BMI V norm'!F18-'BMI V norm'!F17</f>
        <v>0.30000000000000071</v>
      </c>
      <c r="G16" s="79">
        <f>'BMI V norm'!F17-'BMI V - lijnstukken'!F16*'BMI V - lijnstukken'!$A16</f>
        <v>15.649999999999988</v>
      </c>
      <c r="H16" s="78">
        <f>'BMI V norm'!H18-'BMI V norm'!H17</f>
        <v>0.30000000000000071</v>
      </c>
      <c r="I16" s="79">
        <f>'BMI V norm'!H17-'BMI V - lijnstukken'!H16*'BMI V - lijnstukken'!$A16</f>
        <v>19.599999999999987</v>
      </c>
      <c r="J16" s="78">
        <f>'BMI V norm'!J18-'BMI V norm'!J17</f>
        <v>0.30000000000000071</v>
      </c>
      <c r="K16" s="37">
        <f>'BMI V norm'!J17-'BMI V - lijnstukken'!J16*'BMI V - lijnstukken'!$A16</f>
        <v>24.599999999999987</v>
      </c>
    </row>
    <row r="17" spans="1:11" x14ac:dyDescent="0.25">
      <c r="A17" s="42">
        <v>17</v>
      </c>
      <c r="B17" s="78">
        <f>'BMI V norm'!B19-'BMI V norm'!B18</f>
        <v>0.40000000000000036</v>
      </c>
      <c r="C17" s="79">
        <f>'BMI V norm'!B18-'BMI V - lijnstukken'!B17*'BMI V - lijnstukken'!$A17</f>
        <v>8.7999999999999936</v>
      </c>
      <c r="D17" s="78">
        <f>'BMI V norm'!D19-'BMI V norm'!D18</f>
        <v>0.19999999999999929</v>
      </c>
      <c r="E17" s="79">
        <f>'BMI V norm'!D18-'BMI V - lijnstukken'!D17*'BMI V - lijnstukken'!$A17</f>
        <v>13.400000000000013</v>
      </c>
      <c r="F17" s="78">
        <f>'BMI V norm'!F19-'BMI V norm'!F18</f>
        <v>0.25</v>
      </c>
      <c r="G17" s="79">
        <f>'BMI V norm'!F18-'BMI V - lijnstukken'!F17*'BMI V - lijnstukken'!$A17</f>
        <v>16.5</v>
      </c>
      <c r="H17" s="78">
        <f>'BMI V norm'!H19-'BMI V norm'!H18</f>
        <v>0.30000000000000071</v>
      </c>
      <c r="I17" s="79">
        <f>'BMI V norm'!H18-'BMI V - lijnstukken'!H17*'BMI V - lijnstukken'!$A17</f>
        <v>19.599999999999987</v>
      </c>
      <c r="J17" s="78">
        <f>'BMI V norm'!J19-'BMI V norm'!J18</f>
        <v>0.30000000000000071</v>
      </c>
      <c r="K17" s="37">
        <f>'BMI V norm'!J18-'BMI V - lijnstukken'!J17*'BMI V - lijnstukken'!$A17</f>
        <v>24.599999999999987</v>
      </c>
    </row>
    <row r="18" spans="1:11" x14ac:dyDescent="0.25">
      <c r="A18" s="42">
        <v>18</v>
      </c>
      <c r="B18" s="78">
        <f>'BMI V norm'!B20-'BMI V norm'!B19</f>
        <v>0</v>
      </c>
      <c r="C18" s="79">
        <f>'BMI V norm'!B19-'BMI V - lijnstukken'!B18*'BMI V - lijnstukken'!$A18</f>
        <v>16</v>
      </c>
      <c r="D18" s="78">
        <f>'BMI V norm'!D20-'BMI V norm'!D19</f>
        <v>0</v>
      </c>
      <c r="E18" s="79">
        <f>'BMI V norm'!D19-'BMI V - lijnstukken'!D18*'BMI V - lijnstukken'!$A18</f>
        <v>17</v>
      </c>
      <c r="F18" s="78">
        <f>'BMI V norm'!F20-'BMI V norm'!F19</f>
        <v>0</v>
      </c>
      <c r="G18" s="79">
        <f>'BMI V norm'!F19-'BMI V - lijnstukken'!F18*'BMI V - lijnstukken'!$A18</f>
        <v>21</v>
      </c>
      <c r="H18" s="78">
        <f>'BMI V norm'!H20-'BMI V norm'!H19</f>
        <v>0</v>
      </c>
      <c r="I18" s="79">
        <f>'BMI V norm'!H19-'BMI V - lijnstukken'!H18*'BMI V - lijnstukken'!$A18</f>
        <v>25</v>
      </c>
      <c r="J18" s="78">
        <f>'BMI V norm'!J20-'BMI V norm'!J19</f>
        <v>0</v>
      </c>
      <c r="K18" s="37">
        <f>'BMI V norm'!J19-'BMI V - lijnstukken'!J18*'BMI V - lijnstukken'!$A18</f>
        <v>30</v>
      </c>
    </row>
    <row r="19" spans="1:11" ht="15.75" thickBot="1" x14ac:dyDescent="0.3">
      <c r="A19" s="53">
        <v>19</v>
      </c>
      <c r="B19" s="81">
        <f>'BMI V norm'!B21-'BMI V norm'!B20</f>
        <v>0</v>
      </c>
      <c r="C19" s="82">
        <f>'BMI V norm'!B20-'BMI V - lijnstukken'!B19*'BMI V - lijnstukken'!$A19</f>
        <v>16</v>
      </c>
      <c r="D19" s="81">
        <f>'BMI V norm'!D21-'BMI V norm'!D20</f>
        <v>0</v>
      </c>
      <c r="E19" s="82">
        <f>'BMI V norm'!D20-'BMI V - lijnstukken'!D19*'BMI V - lijnstukken'!$A19</f>
        <v>17</v>
      </c>
      <c r="F19" s="81">
        <f>'BMI V norm'!F21-'BMI V norm'!F20</f>
        <v>0</v>
      </c>
      <c r="G19" s="82">
        <f>'BMI V norm'!F20-'BMI V - lijnstukken'!F19*'BMI V - lijnstukken'!$A19</f>
        <v>21</v>
      </c>
      <c r="H19" s="81">
        <f>'BMI V norm'!H21-'BMI V norm'!H20</f>
        <v>0</v>
      </c>
      <c r="I19" s="82">
        <f>'BMI V norm'!H20-'BMI V - lijnstukken'!H19*'BMI V - lijnstukken'!$A19</f>
        <v>25</v>
      </c>
      <c r="J19" s="81">
        <f>'BMI V norm'!J21-'BMI V norm'!J20</f>
        <v>0</v>
      </c>
      <c r="K19" s="83">
        <f>'BMI V norm'!J20-'BMI V - lijnstukken'!J19*'BMI V - lijnstukken'!$A19</f>
        <v>30</v>
      </c>
    </row>
  </sheetData>
  <sheetProtection sheet="1" objects="1" scenarios="1"/>
  <pageMargins left="0.7" right="0.7" top="0.75" bottom="0.75"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FF"/>
  </sheetPr>
  <dimension ref="A1:M21"/>
  <sheetViews>
    <sheetView workbookViewId="0">
      <selection activeCell="K47" sqref="K47:K48"/>
    </sheetView>
  </sheetViews>
  <sheetFormatPr defaultRowHeight="15" x14ac:dyDescent="0.25"/>
  <cols>
    <col min="1" max="1" width="4.7109375" customWidth="1"/>
    <col min="2" max="2" width="8.7109375" customWidth="1"/>
    <col min="3" max="3" width="4.7109375" customWidth="1"/>
    <col min="4" max="4" width="8.7109375" customWidth="1"/>
    <col min="5" max="5" width="4.7109375" customWidth="1"/>
    <col min="6" max="6" width="8.7109375" customWidth="1"/>
    <col min="7" max="7" width="4.7109375" customWidth="1"/>
    <col min="8" max="8" width="8.7109375" customWidth="1"/>
    <col min="9" max="9" width="4.7109375" customWidth="1"/>
    <col min="10" max="10" width="8.7109375" customWidth="1"/>
    <col min="12" max="12" width="9.140625" customWidth="1"/>
    <col min="13" max="13" width="4.7109375" customWidth="1"/>
  </cols>
  <sheetData>
    <row r="1" spans="1:13" x14ac:dyDescent="0.25">
      <c r="A1" s="200" t="s">
        <v>58</v>
      </c>
      <c r="B1" s="201"/>
      <c r="C1" s="201"/>
      <c r="D1" s="201"/>
      <c r="E1" s="201"/>
      <c r="F1" s="201"/>
      <c r="G1" s="201"/>
      <c r="H1" s="201"/>
      <c r="I1" s="201"/>
      <c r="J1" s="202"/>
    </row>
    <row r="2" spans="1:13" x14ac:dyDescent="0.25">
      <c r="A2" s="60"/>
      <c r="B2" s="61">
        <v>-2</v>
      </c>
      <c r="C2" s="62"/>
      <c r="D2" s="61">
        <v>-1</v>
      </c>
      <c r="E2" s="62"/>
      <c r="F2" s="61">
        <v>0</v>
      </c>
      <c r="G2" s="62"/>
      <c r="H2" s="61">
        <v>1</v>
      </c>
      <c r="I2" s="62"/>
      <c r="J2" s="63">
        <v>2</v>
      </c>
      <c r="L2">
        <v>-2</v>
      </c>
      <c r="M2" t="s">
        <v>52</v>
      </c>
    </row>
    <row r="3" spans="1:13" x14ac:dyDescent="0.25">
      <c r="A3" s="84">
        <v>2</v>
      </c>
      <c r="B3" s="79">
        <v>13.2</v>
      </c>
      <c r="C3" s="2">
        <v>2</v>
      </c>
      <c r="D3" s="79">
        <v>13.9</v>
      </c>
      <c r="E3" s="2">
        <v>2</v>
      </c>
      <c r="F3" s="46">
        <f>(D3+H3)/2</f>
        <v>15.95</v>
      </c>
      <c r="G3" s="2">
        <v>2</v>
      </c>
      <c r="H3" s="79">
        <v>18</v>
      </c>
      <c r="I3" s="2">
        <v>2</v>
      </c>
      <c r="J3" s="37">
        <v>19.8</v>
      </c>
      <c r="L3">
        <v>-1</v>
      </c>
      <c r="M3" t="s">
        <v>53</v>
      </c>
    </row>
    <row r="4" spans="1:13" x14ac:dyDescent="0.25">
      <c r="A4" s="34">
        <v>3</v>
      </c>
      <c r="B4" s="79">
        <v>13</v>
      </c>
      <c r="C4" s="65">
        <v>3</v>
      </c>
      <c r="D4" s="79">
        <v>13.6</v>
      </c>
      <c r="E4" s="65">
        <v>3</v>
      </c>
      <c r="F4" s="51">
        <f t="shared" ref="F4:F21" si="0">(D4+H4)/2</f>
        <v>15.600000000000001</v>
      </c>
      <c r="G4" s="65">
        <v>3</v>
      </c>
      <c r="H4" s="79">
        <v>17.600000000000001</v>
      </c>
      <c r="I4" s="65">
        <v>3</v>
      </c>
      <c r="J4" s="37">
        <v>19.3</v>
      </c>
      <c r="L4">
        <v>0</v>
      </c>
      <c r="M4" t="s">
        <v>54</v>
      </c>
    </row>
    <row r="5" spans="1:13" x14ac:dyDescent="0.25">
      <c r="A5" s="34">
        <v>4</v>
      </c>
      <c r="B5" s="79">
        <v>12.7</v>
      </c>
      <c r="C5" s="65">
        <v>4</v>
      </c>
      <c r="D5" s="79">
        <v>13.3</v>
      </c>
      <c r="E5" s="65">
        <v>4</v>
      </c>
      <c r="F5" s="51">
        <f t="shared" si="0"/>
        <v>15.3</v>
      </c>
      <c r="G5" s="65">
        <v>4</v>
      </c>
      <c r="H5" s="79">
        <v>17.3</v>
      </c>
      <c r="I5" s="65">
        <v>4</v>
      </c>
      <c r="J5" s="37">
        <v>19.100000000000001</v>
      </c>
      <c r="L5">
        <v>1</v>
      </c>
      <c r="M5" t="s">
        <v>55</v>
      </c>
    </row>
    <row r="6" spans="1:13" x14ac:dyDescent="0.25">
      <c r="A6" s="34">
        <v>5</v>
      </c>
      <c r="B6" s="79">
        <v>12.5</v>
      </c>
      <c r="C6" s="65">
        <v>5</v>
      </c>
      <c r="D6" s="79">
        <v>13.1</v>
      </c>
      <c r="E6" s="65">
        <v>5</v>
      </c>
      <c r="F6" s="51">
        <f t="shared" si="0"/>
        <v>15.399999999999999</v>
      </c>
      <c r="G6" s="65">
        <v>5</v>
      </c>
      <c r="H6" s="79">
        <v>17.7</v>
      </c>
      <c r="I6" s="65">
        <v>5</v>
      </c>
      <c r="J6" s="37">
        <v>19.2</v>
      </c>
      <c r="L6">
        <v>2</v>
      </c>
      <c r="M6" t="s">
        <v>56</v>
      </c>
    </row>
    <row r="7" spans="1:13" x14ac:dyDescent="0.25">
      <c r="A7" s="34">
        <v>6</v>
      </c>
      <c r="B7" s="79">
        <v>12.3</v>
      </c>
      <c r="C7" s="65">
        <v>6</v>
      </c>
      <c r="D7" s="79">
        <v>12.95</v>
      </c>
      <c r="E7" s="65">
        <v>6</v>
      </c>
      <c r="F7" s="51">
        <f t="shared" si="0"/>
        <v>15.174999999999999</v>
      </c>
      <c r="G7" s="65">
        <v>6</v>
      </c>
      <c r="H7" s="79">
        <v>17.399999999999999</v>
      </c>
      <c r="I7" s="65">
        <v>6</v>
      </c>
      <c r="J7" s="37">
        <v>19.7</v>
      </c>
    </row>
    <row r="8" spans="1:13" x14ac:dyDescent="0.25">
      <c r="A8" s="34">
        <v>7</v>
      </c>
      <c r="B8" s="79">
        <v>12.25</v>
      </c>
      <c r="C8" s="65">
        <v>7</v>
      </c>
      <c r="D8" s="79">
        <v>12.9</v>
      </c>
      <c r="E8" s="65">
        <v>7</v>
      </c>
      <c r="F8" s="51">
        <f t="shared" si="0"/>
        <v>15.350000000000001</v>
      </c>
      <c r="G8" s="65">
        <v>7</v>
      </c>
      <c r="H8" s="79">
        <v>17.8</v>
      </c>
      <c r="I8" s="65">
        <v>7</v>
      </c>
      <c r="J8" s="37">
        <v>20.5</v>
      </c>
    </row>
    <row r="9" spans="1:13" x14ac:dyDescent="0.25">
      <c r="A9" s="34">
        <v>8</v>
      </c>
      <c r="B9" s="79">
        <v>12.3</v>
      </c>
      <c r="C9" s="65">
        <v>8</v>
      </c>
      <c r="D9" s="79">
        <v>13</v>
      </c>
      <c r="E9" s="65">
        <v>8</v>
      </c>
      <c r="F9" s="51">
        <f t="shared" si="0"/>
        <v>15.65</v>
      </c>
      <c r="G9" s="65">
        <v>8</v>
      </c>
      <c r="H9" s="79">
        <v>18.3</v>
      </c>
      <c r="I9" s="65">
        <v>8</v>
      </c>
      <c r="J9" s="37">
        <v>21.5</v>
      </c>
    </row>
    <row r="10" spans="1:13" x14ac:dyDescent="0.25">
      <c r="A10" s="34">
        <v>9</v>
      </c>
      <c r="B10" s="79">
        <v>12.45</v>
      </c>
      <c r="C10" s="65">
        <v>9</v>
      </c>
      <c r="D10" s="79">
        <v>13.2</v>
      </c>
      <c r="E10" s="65">
        <v>9</v>
      </c>
      <c r="F10" s="51">
        <f t="shared" si="0"/>
        <v>16.149999999999999</v>
      </c>
      <c r="G10" s="65">
        <v>9</v>
      </c>
      <c r="H10" s="79">
        <v>19.100000000000001</v>
      </c>
      <c r="I10" s="65">
        <v>9</v>
      </c>
      <c r="J10" s="37">
        <v>22.8</v>
      </c>
    </row>
    <row r="11" spans="1:13" x14ac:dyDescent="0.25">
      <c r="A11" s="34">
        <v>10</v>
      </c>
      <c r="B11" s="79">
        <v>12.6</v>
      </c>
      <c r="C11" s="65">
        <v>10</v>
      </c>
      <c r="D11" s="79">
        <v>13.4</v>
      </c>
      <c r="E11" s="65">
        <v>10</v>
      </c>
      <c r="F11" s="51">
        <f t="shared" si="0"/>
        <v>16.600000000000001</v>
      </c>
      <c r="G11" s="65">
        <v>10</v>
      </c>
      <c r="H11" s="79">
        <v>19.8</v>
      </c>
      <c r="I11" s="65">
        <v>10</v>
      </c>
      <c r="J11" s="37">
        <v>24.1</v>
      </c>
    </row>
    <row r="12" spans="1:13" x14ac:dyDescent="0.25">
      <c r="A12" s="34">
        <v>11</v>
      </c>
      <c r="B12" s="79">
        <v>12.95</v>
      </c>
      <c r="C12" s="65">
        <v>11</v>
      </c>
      <c r="D12" s="79">
        <v>13.8</v>
      </c>
      <c r="E12" s="65">
        <v>11</v>
      </c>
      <c r="F12" s="51">
        <f t="shared" si="0"/>
        <v>17.25</v>
      </c>
      <c r="G12" s="65">
        <v>11</v>
      </c>
      <c r="H12" s="79">
        <v>20.7</v>
      </c>
      <c r="I12" s="65">
        <v>11</v>
      </c>
      <c r="J12" s="37">
        <v>25.4</v>
      </c>
    </row>
    <row r="13" spans="1:13" x14ac:dyDescent="0.25">
      <c r="A13" s="34">
        <v>12</v>
      </c>
      <c r="B13" s="79">
        <v>13.4</v>
      </c>
      <c r="C13" s="65">
        <v>12</v>
      </c>
      <c r="D13" s="79">
        <v>14.3</v>
      </c>
      <c r="E13" s="65">
        <v>12</v>
      </c>
      <c r="F13" s="51">
        <f t="shared" si="0"/>
        <v>18</v>
      </c>
      <c r="G13" s="65">
        <v>12</v>
      </c>
      <c r="H13" s="79">
        <v>21.7</v>
      </c>
      <c r="I13" s="65">
        <v>12</v>
      </c>
      <c r="J13" s="37">
        <v>26.7</v>
      </c>
    </row>
    <row r="14" spans="1:13" x14ac:dyDescent="0.25">
      <c r="A14" s="34">
        <v>13</v>
      </c>
      <c r="B14" s="79">
        <v>13.9</v>
      </c>
      <c r="C14" s="65">
        <v>13</v>
      </c>
      <c r="D14" s="79">
        <v>14.8</v>
      </c>
      <c r="E14" s="65">
        <v>13</v>
      </c>
      <c r="F14" s="51">
        <f t="shared" si="0"/>
        <v>18.700000000000003</v>
      </c>
      <c r="G14" s="65">
        <v>13</v>
      </c>
      <c r="H14" s="79">
        <v>22.6</v>
      </c>
      <c r="I14" s="65">
        <v>13</v>
      </c>
      <c r="J14" s="37">
        <v>27.8</v>
      </c>
    </row>
    <row r="15" spans="1:13" x14ac:dyDescent="0.25">
      <c r="A15" s="34">
        <v>14</v>
      </c>
      <c r="B15" s="79">
        <v>14.5</v>
      </c>
      <c r="C15" s="65">
        <v>14</v>
      </c>
      <c r="D15" s="79">
        <v>15.4</v>
      </c>
      <c r="E15" s="65">
        <v>14</v>
      </c>
      <c r="F15" s="51">
        <f t="shared" si="0"/>
        <v>19.350000000000001</v>
      </c>
      <c r="G15" s="65">
        <v>14</v>
      </c>
      <c r="H15" s="79">
        <v>23.3</v>
      </c>
      <c r="I15" s="65">
        <v>14</v>
      </c>
      <c r="J15" s="37">
        <v>28.5</v>
      </c>
    </row>
    <row r="16" spans="1:13" x14ac:dyDescent="0.25">
      <c r="A16" s="34">
        <v>15</v>
      </c>
      <c r="B16" s="79">
        <v>15</v>
      </c>
      <c r="C16" s="65">
        <v>15</v>
      </c>
      <c r="D16" s="79">
        <v>16</v>
      </c>
      <c r="E16" s="65">
        <v>15</v>
      </c>
      <c r="F16" s="51">
        <f t="shared" si="0"/>
        <v>19.975000000000001</v>
      </c>
      <c r="G16" s="65">
        <v>15</v>
      </c>
      <c r="H16" s="79">
        <v>23.95</v>
      </c>
      <c r="I16" s="65">
        <v>15</v>
      </c>
      <c r="J16" s="37">
        <v>29.2</v>
      </c>
    </row>
    <row r="17" spans="1:10" x14ac:dyDescent="0.25">
      <c r="A17" s="34">
        <v>16</v>
      </c>
      <c r="B17" s="79">
        <v>15.5</v>
      </c>
      <c r="C17" s="65">
        <v>16</v>
      </c>
      <c r="D17" s="79">
        <v>16.5</v>
      </c>
      <c r="E17" s="65">
        <v>16</v>
      </c>
      <c r="F17" s="51">
        <f t="shared" si="0"/>
        <v>20.45</v>
      </c>
      <c r="G17" s="65">
        <v>16</v>
      </c>
      <c r="H17" s="79">
        <v>24.4</v>
      </c>
      <c r="I17" s="65">
        <v>16</v>
      </c>
      <c r="J17" s="37">
        <v>29.4</v>
      </c>
    </row>
    <row r="18" spans="1:10" x14ac:dyDescent="0.25">
      <c r="A18" s="34">
        <v>17</v>
      </c>
      <c r="B18" s="79">
        <v>15.6</v>
      </c>
      <c r="C18" s="65">
        <v>17</v>
      </c>
      <c r="D18" s="79">
        <v>16.8</v>
      </c>
      <c r="E18" s="65">
        <v>17</v>
      </c>
      <c r="F18" s="51">
        <f t="shared" si="0"/>
        <v>20.75</v>
      </c>
      <c r="G18" s="65">
        <v>17</v>
      </c>
      <c r="H18" s="79">
        <v>24.7</v>
      </c>
      <c r="I18" s="65">
        <v>17</v>
      </c>
      <c r="J18" s="37">
        <v>29.7</v>
      </c>
    </row>
    <row r="19" spans="1:10" x14ac:dyDescent="0.25">
      <c r="A19" s="34">
        <v>18</v>
      </c>
      <c r="B19" s="79">
        <v>16</v>
      </c>
      <c r="C19" s="65">
        <v>18</v>
      </c>
      <c r="D19" s="79">
        <v>17</v>
      </c>
      <c r="E19" s="65">
        <v>18</v>
      </c>
      <c r="F19" s="51">
        <f t="shared" si="0"/>
        <v>21</v>
      </c>
      <c r="G19" s="65">
        <v>18</v>
      </c>
      <c r="H19" s="79">
        <v>25</v>
      </c>
      <c r="I19" s="65">
        <v>18</v>
      </c>
      <c r="J19" s="37">
        <v>30</v>
      </c>
    </row>
    <row r="20" spans="1:10" x14ac:dyDescent="0.25">
      <c r="A20" s="34">
        <v>19</v>
      </c>
      <c r="B20" s="79">
        <v>16</v>
      </c>
      <c r="C20" s="65">
        <v>19</v>
      </c>
      <c r="D20" s="79">
        <v>17</v>
      </c>
      <c r="E20" s="65">
        <v>19</v>
      </c>
      <c r="F20" s="51">
        <f t="shared" si="0"/>
        <v>21</v>
      </c>
      <c r="G20" s="65">
        <v>19</v>
      </c>
      <c r="H20" s="79">
        <v>25</v>
      </c>
      <c r="I20" s="65">
        <v>19</v>
      </c>
      <c r="J20" s="37">
        <v>30</v>
      </c>
    </row>
    <row r="21" spans="1:10" ht="15.75" thickBot="1" x14ac:dyDescent="0.3">
      <c r="A21" s="71">
        <v>20</v>
      </c>
      <c r="B21" s="82">
        <v>16</v>
      </c>
      <c r="C21" s="72">
        <v>20</v>
      </c>
      <c r="D21" s="82">
        <v>17</v>
      </c>
      <c r="E21" s="72">
        <v>20</v>
      </c>
      <c r="F21" s="57">
        <f t="shared" si="0"/>
        <v>21</v>
      </c>
      <c r="G21" s="72">
        <v>20</v>
      </c>
      <c r="H21" s="82">
        <v>25</v>
      </c>
      <c r="I21" s="72">
        <v>20</v>
      </c>
      <c r="J21" s="83">
        <v>30</v>
      </c>
    </row>
  </sheetData>
  <sheetProtection sheet="1" objects="1" scenarios="1"/>
  <mergeCells count="1">
    <mergeCell ref="A1:J1"/>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X52"/>
  <sheetViews>
    <sheetView topLeftCell="K35" zoomScale="130" zoomScaleNormal="130" workbookViewId="0">
      <selection activeCell="K47" sqref="K47:K48"/>
    </sheetView>
  </sheetViews>
  <sheetFormatPr defaultColWidth="8.7109375" defaultRowHeight="15" x14ac:dyDescent="0.25"/>
  <cols>
    <col min="1" max="1" width="11.7109375" style="87" bestFit="1" customWidth="1"/>
    <col min="2" max="2" width="13.42578125" style="88" bestFit="1" customWidth="1"/>
    <col min="3" max="3" width="8.7109375" style="87"/>
    <col min="4" max="4" width="10.7109375" style="87" bestFit="1" customWidth="1"/>
    <col min="5" max="5" width="12.28515625" style="87" bestFit="1" customWidth="1"/>
    <col min="6" max="8" width="8.7109375" style="87"/>
    <col min="9" max="9" width="8.7109375" style="88"/>
    <col min="10" max="11" width="16.7109375" style="88" customWidth="1"/>
    <col min="12" max="12" width="11.5703125" style="88" customWidth="1"/>
    <col min="13" max="13" width="8.28515625" style="88" bestFit="1" customWidth="1"/>
    <col min="14" max="14" width="47.85546875" style="88" bestFit="1" customWidth="1"/>
    <col min="15" max="15" width="62.28515625" style="88" bestFit="1" customWidth="1"/>
    <col min="16" max="20" width="8.7109375" style="88"/>
    <col min="21" max="23" width="8.7109375" style="87"/>
    <col min="24" max="24" width="8.7109375" style="89"/>
    <col min="25" max="16384" width="8.7109375" style="87"/>
  </cols>
  <sheetData>
    <row r="1" spans="1:16" x14ac:dyDescent="0.25">
      <c r="A1" s="90" t="s">
        <v>62</v>
      </c>
      <c r="B1" s="88">
        <f>'Verklaring dispensatie'!I11</f>
        <v>0</v>
      </c>
      <c r="J1" s="90" t="s">
        <v>91</v>
      </c>
      <c r="K1" s="90"/>
      <c r="L1" s="152" t="str">
        <f>CONCATENATE(" - [",IF(ISERROR(VLOOKUP(K6,M:O,IF(K4="Omhoog",2,IF(K4="Omlaag",3,4)),FALSE)),"",VLOOKUP(K6,M:O,IF(K4="Omhoog",2,IF(K4="Omlaag",3,4)),FALSE))," /")</f>
        <v xml:space="preserve"> - [ /</v>
      </c>
    </row>
    <row r="2" spans="1:16" x14ac:dyDescent="0.25">
      <c r="A2" s="90" t="s">
        <v>3</v>
      </c>
      <c r="B2" s="88">
        <f>'Verklaring dispensatie'!I46</f>
        <v>0</v>
      </c>
      <c r="J2" s="87" t="s">
        <v>11</v>
      </c>
      <c r="K2" s="151">
        <f>'Verklaring dispensatie'!I10</f>
        <v>0</v>
      </c>
      <c r="L2" s="152" t="str" cm="1">
        <f t="array" aca="1" ref="L2" ca="1">IF(ISERROR(VLOOKUP(K6,M:O,IF(K4="Omhoog",2,elseif(K4="Omlaag",3,4)),FALSE)),"",VLOOKUP(K6,M:O,IF(K4="Omhoog",2,elseif(K4="Omlaag",3,4))))</f>
        <v/>
      </c>
      <c r="N2" s="91" t="s">
        <v>71</v>
      </c>
      <c r="O2" s="91" t="s">
        <v>74</v>
      </c>
      <c r="P2" s="91" t="s">
        <v>115</v>
      </c>
    </row>
    <row r="3" spans="1:16" x14ac:dyDescent="0.25">
      <c r="A3" s="90" t="s">
        <v>12</v>
      </c>
      <c r="B3" s="153">
        <f>100*'Verklaring dispensatie'!I47</f>
        <v>0</v>
      </c>
      <c r="J3" s="87" t="s">
        <v>92</v>
      </c>
      <c r="K3" s="88">
        <f>YEAR(K2)</f>
        <v>1900</v>
      </c>
      <c r="M3" s="88" t="s">
        <v>94</v>
      </c>
      <c r="N3" s="88" t="s">
        <v>117</v>
      </c>
      <c r="O3" s="88" t="s">
        <v>131</v>
      </c>
    </row>
    <row r="4" spans="1:16" x14ac:dyDescent="0.25">
      <c r="A4" s="90" t="s">
        <v>13</v>
      </c>
      <c r="B4" s="88" t="e">
        <f>'Verklaring dispensatie'!I48</f>
        <v>#DIV/0!</v>
      </c>
      <c r="K4" s="88">
        <f>'Verklaring dispensatie'!I6</f>
        <v>0</v>
      </c>
      <c r="M4" s="88" t="s">
        <v>95</v>
      </c>
      <c r="N4" s="88" t="s">
        <v>117</v>
      </c>
      <c r="O4" s="88" t="s">
        <v>132</v>
      </c>
    </row>
    <row r="5" spans="1:16" x14ac:dyDescent="0.25">
      <c r="A5" s="90"/>
      <c r="J5" s="87"/>
      <c r="K5" s="87"/>
      <c r="M5" s="88" t="s">
        <v>96</v>
      </c>
      <c r="N5" s="88" t="s">
        <v>117</v>
      </c>
      <c r="O5" s="88" t="s">
        <v>133</v>
      </c>
    </row>
    <row r="6" spans="1:16" ht="15.75" thickBot="1" x14ac:dyDescent="0.3">
      <c r="A6" s="90" t="s">
        <v>63</v>
      </c>
      <c r="J6" s="90" t="s">
        <v>104</v>
      </c>
      <c r="K6" s="90" t="str">
        <f>CONCATENATE(K3,IF(B1="Man","M",""),IF(B1="Vrouw","V",""))</f>
        <v>1900</v>
      </c>
      <c r="M6" s="88" t="s">
        <v>97</v>
      </c>
      <c r="N6" s="88" t="s">
        <v>118</v>
      </c>
      <c r="O6" s="88" t="s">
        <v>134</v>
      </c>
    </row>
    <row r="7" spans="1:16" x14ac:dyDescent="0.25">
      <c r="A7" s="92" t="s">
        <v>12</v>
      </c>
      <c r="B7" s="93" t="s">
        <v>13</v>
      </c>
      <c r="C7" s="100" t="s">
        <v>17</v>
      </c>
      <c r="D7" s="101"/>
      <c r="E7" s="98" t="s">
        <v>18</v>
      </c>
      <c r="F7" s="99"/>
      <c r="M7" s="88" t="s">
        <v>98</v>
      </c>
      <c r="N7" s="88" t="s">
        <v>119</v>
      </c>
      <c r="O7" s="88" t="s">
        <v>135</v>
      </c>
    </row>
    <row r="8" spans="1:16" ht="15.75" thickBot="1" x14ac:dyDescent="0.3">
      <c r="A8" s="94" t="e">
        <f>IF(B1="Man",C8,E8)</f>
        <v>#N/A</v>
      </c>
      <c r="B8" s="95" t="e">
        <f>IF(C3="Man",D8,F8)</f>
        <v>#DIV/0!</v>
      </c>
      <c r="C8" s="102" t="e">
        <f>Calculatie!C$3</f>
        <v>#N/A</v>
      </c>
      <c r="D8" s="103" t="e">
        <f>Calculatie!D$3</f>
        <v>#DIV/0!</v>
      </c>
      <c r="E8" s="96" t="e">
        <f>Calculatie!C$4</f>
        <v>#N/A</v>
      </c>
      <c r="F8" s="97" t="e">
        <f>Calculatie!D$4</f>
        <v>#DIV/0!</v>
      </c>
      <c r="M8" s="88" t="s">
        <v>99</v>
      </c>
      <c r="N8" s="88" t="s">
        <v>120</v>
      </c>
      <c r="O8" s="88" t="s">
        <v>136</v>
      </c>
    </row>
    <row r="9" spans="1:16" x14ac:dyDescent="0.25">
      <c r="M9" s="88" t="s">
        <v>100</v>
      </c>
      <c r="N9" s="88" t="s">
        <v>159</v>
      </c>
      <c r="O9" s="88" t="s">
        <v>137</v>
      </c>
    </row>
    <row r="10" spans="1:16" ht="15.75" thickBot="1" x14ac:dyDescent="0.3">
      <c r="A10" s="90" t="s">
        <v>64</v>
      </c>
      <c r="M10" s="88" t="s">
        <v>101</v>
      </c>
      <c r="N10" s="88" t="s">
        <v>122</v>
      </c>
      <c r="O10" s="88" t="s">
        <v>138</v>
      </c>
    </row>
    <row r="11" spans="1:16" x14ac:dyDescent="0.25">
      <c r="A11" s="111" t="s">
        <v>65</v>
      </c>
      <c r="B11" s="112" t="s">
        <v>17</v>
      </c>
      <c r="C11" s="113" t="s">
        <v>18</v>
      </c>
      <c r="E11" s="119" t="s">
        <v>66</v>
      </c>
      <c r="F11" s="120" t="s">
        <v>67</v>
      </c>
      <c r="G11" s="121" t="s">
        <v>66</v>
      </c>
      <c r="H11" s="122" t="s">
        <v>67</v>
      </c>
      <c r="M11" s="88" t="s">
        <v>102</v>
      </c>
      <c r="N11" s="88" t="s">
        <v>123</v>
      </c>
      <c r="O11" s="88" t="s">
        <v>139</v>
      </c>
    </row>
    <row r="12" spans="1:16" x14ac:dyDescent="0.25">
      <c r="A12" s="114">
        <v>2.5</v>
      </c>
      <c r="B12" s="110" t="e">
        <f>E12*$B$2+F12</f>
        <v>#N/A</v>
      </c>
      <c r="C12" s="115" t="e">
        <f>G12*$B$2+H12</f>
        <v>#N/A</v>
      </c>
      <c r="E12" s="123" t="e">
        <f>Calculatie!AV3</f>
        <v>#N/A</v>
      </c>
      <c r="F12" s="124" t="e">
        <f>Calculatie!AW3</f>
        <v>#N/A</v>
      </c>
      <c r="G12" s="125" t="e">
        <f>Calculatie!AV4</f>
        <v>#N/A</v>
      </c>
      <c r="H12" s="126" t="e">
        <f>Calculatie!AW4</f>
        <v>#N/A</v>
      </c>
      <c r="M12" s="88" t="s">
        <v>103</v>
      </c>
      <c r="N12" s="88" t="s">
        <v>124</v>
      </c>
      <c r="O12" s="88" t="s">
        <v>140</v>
      </c>
    </row>
    <row r="13" spans="1:16" x14ac:dyDescent="0.25">
      <c r="A13" s="114">
        <v>2</v>
      </c>
      <c r="B13" s="110" t="e">
        <f t="shared" ref="B13:B19" si="0">E13*$B$2+F13</f>
        <v>#N/A</v>
      </c>
      <c r="C13" s="115" t="e">
        <f t="shared" ref="C13:C19" si="1">G13*$B$2+H13</f>
        <v>#N/A</v>
      </c>
      <c r="E13" s="123" t="e">
        <f>Calculatie!AT3</f>
        <v>#N/A</v>
      </c>
      <c r="F13" s="124" t="e">
        <f>Calculatie!AU3</f>
        <v>#N/A</v>
      </c>
      <c r="G13" s="125" t="e">
        <f>Calculatie!AT4</f>
        <v>#N/A</v>
      </c>
      <c r="H13" s="126" t="e">
        <f>Calculatie!AU4</f>
        <v>#N/A</v>
      </c>
      <c r="M13" s="88" t="s">
        <v>161</v>
      </c>
      <c r="N13" s="88" t="s">
        <v>125</v>
      </c>
      <c r="O13" s="88" t="s">
        <v>141</v>
      </c>
    </row>
    <row r="14" spans="1:16" x14ac:dyDescent="0.25">
      <c r="A14" s="114">
        <v>1</v>
      </c>
      <c r="B14" s="110" t="e">
        <f t="shared" si="0"/>
        <v>#N/A</v>
      </c>
      <c r="C14" s="115" t="e">
        <f t="shared" si="1"/>
        <v>#N/A</v>
      </c>
      <c r="E14" s="123" t="e">
        <f>Calculatie!AR3</f>
        <v>#N/A</v>
      </c>
      <c r="F14" s="124" t="e">
        <f>Calculatie!AS3</f>
        <v>#N/A</v>
      </c>
      <c r="G14" s="125" t="e">
        <f>Calculatie!AR4</f>
        <v>#N/A</v>
      </c>
      <c r="H14" s="126" t="e">
        <f>Calculatie!AS4</f>
        <v>#N/A</v>
      </c>
      <c r="M14" s="88" t="s">
        <v>164</v>
      </c>
      <c r="N14" s="88" t="s">
        <v>126</v>
      </c>
      <c r="O14" s="88" t="s">
        <v>142</v>
      </c>
    </row>
    <row r="15" spans="1:16" x14ac:dyDescent="0.25">
      <c r="A15" s="114">
        <v>0</v>
      </c>
      <c r="B15" s="110" t="e">
        <f t="shared" si="0"/>
        <v>#N/A</v>
      </c>
      <c r="C15" s="115" t="e">
        <f t="shared" si="1"/>
        <v>#N/A</v>
      </c>
      <c r="E15" s="123" t="e">
        <f>Calculatie!AP3</f>
        <v>#N/A</v>
      </c>
      <c r="F15" s="124" t="e">
        <f>Calculatie!AQ3</f>
        <v>#N/A</v>
      </c>
      <c r="G15" s="125" t="e">
        <f>Calculatie!AP4</f>
        <v>#N/A</v>
      </c>
      <c r="H15" s="126" t="e">
        <f>Calculatie!AQ4</f>
        <v>#N/A</v>
      </c>
      <c r="M15" s="88" t="s">
        <v>169</v>
      </c>
      <c r="N15" s="88" t="s">
        <v>127</v>
      </c>
      <c r="O15" s="88" t="s">
        <v>143</v>
      </c>
    </row>
    <row r="16" spans="1:16" x14ac:dyDescent="0.25">
      <c r="A16" s="114">
        <v>-1</v>
      </c>
      <c r="B16" s="110" t="e">
        <f t="shared" si="0"/>
        <v>#N/A</v>
      </c>
      <c r="C16" s="115" t="e">
        <f t="shared" si="1"/>
        <v>#N/A</v>
      </c>
      <c r="E16" s="123" t="e">
        <f>Calculatie!AN3</f>
        <v>#N/A</v>
      </c>
      <c r="F16" s="124" t="e">
        <f>Calculatie!AO3</f>
        <v>#N/A</v>
      </c>
      <c r="G16" s="125" t="e">
        <f>Calculatie!AN4</f>
        <v>#N/A</v>
      </c>
      <c r="H16" s="126" t="e">
        <f>Calculatie!AO4</f>
        <v>#N/A</v>
      </c>
      <c r="M16" s="88" t="s">
        <v>172</v>
      </c>
      <c r="N16" s="88" t="s">
        <v>128</v>
      </c>
      <c r="O16" s="88" t="s">
        <v>144</v>
      </c>
    </row>
    <row r="17" spans="1:15" x14ac:dyDescent="0.25">
      <c r="A17" s="114">
        <v>-2</v>
      </c>
      <c r="B17" s="110" t="e">
        <f t="shared" si="0"/>
        <v>#N/A</v>
      </c>
      <c r="C17" s="115" t="e">
        <f t="shared" si="1"/>
        <v>#N/A</v>
      </c>
      <c r="E17" s="123" t="e">
        <f>Calculatie!AL3</f>
        <v>#N/A</v>
      </c>
      <c r="F17" s="124" t="e">
        <f>Calculatie!AM3</f>
        <v>#N/A</v>
      </c>
      <c r="G17" s="125" t="e">
        <f>Calculatie!AL4</f>
        <v>#N/A</v>
      </c>
      <c r="H17" s="126" t="e">
        <f>Calculatie!AM4</f>
        <v>#N/A</v>
      </c>
      <c r="M17" s="88" t="s">
        <v>175</v>
      </c>
      <c r="N17" s="88" t="s">
        <v>121</v>
      </c>
      <c r="O17" s="88" t="s">
        <v>93</v>
      </c>
    </row>
    <row r="18" spans="1:15" x14ac:dyDescent="0.25">
      <c r="A18" s="114">
        <v>-2.5</v>
      </c>
      <c r="B18" s="110" t="e">
        <f t="shared" si="0"/>
        <v>#N/A</v>
      </c>
      <c r="C18" s="115" t="e">
        <f t="shared" si="1"/>
        <v>#N/A</v>
      </c>
      <c r="E18" s="123" t="e">
        <f>Calculatie!AJ3</f>
        <v>#N/A</v>
      </c>
      <c r="F18" s="124" t="e">
        <f>Calculatie!AK3</f>
        <v>#N/A</v>
      </c>
      <c r="G18" s="125" t="e">
        <f>Calculatie!AJ4</f>
        <v>#N/A</v>
      </c>
      <c r="H18" s="126" t="e">
        <f>Calculatie!AK4</f>
        <v>#N/A</v>
      </c>
      <c r="M18" s="88" t="s">
        <v>178</v>
      </c>
      <c r="N18" s="88" t="s">
        <v>129</v>
      </c>
      <c r="O18" s="88" t="s">
        <v>145</v>
      </c>
    </row>
    <row r="19" spans="1:15" ht="15.75" thickBot="1" x14ac:dyDescent="0.3">
      <c r="A19" s="116">
        <v>-3</v>
      </c>
      <c r="B19" s="117" t="e">
        <f t="shared" si="0"/>
        <v>#N/A</v>
      </c>
      <c r="C19" s="118" t="e">
        <f t="shared" si="1"/>
        <v>#N/A</v>
      </c>
      <c r="E19" s="130" t="e">
        <f>Calculatie!AH3</f>
        <v>#N/A</v>
      </c>
      <c r="F19" s="127" t="e">
        <f>Calculatie!AI3</f>
        <v>#N/A</v>
      </c>
      <c r="G19" s="128" t="e">
        <f>Calculatie!AH4</f>
        <v>#N/A</v>
      </c>
      <c r="H19" s="129" t="e">
        <f>Calculatie!AI4</f>
        <v>#N/A</v>
      </c>
      <c r="M19" s="88" t="s">
        <v>105</v>
      </c>
      <c r="N19" s="88" t="s">
        <v>117</v>
      </c>
      <c r="O19" s="88" t="s">
        <v>131</v>
      </c>
    </row>
    <row r="20" spans="1:15" x14ac:dyDescent="0.25">
      <c r="M20" s="88" t="s">
        <v>106</v>
      </c>
      <c r="N20" s="88" t="s">
        <v>117</v>
      </c>
      <c r="O20" s="88" t="s">
        <v>132</v>
      </c>
    </row>
    <row r="21" spans="1:15" ht="15.75" thickBot="1" x14ac:dyDescent="0.3">
      <c r="A21" s="87" t="s">
        <v>70</v>
      </c>
      <c r="M21" s="88" t="s">
        <v>107</v>
      </c>
      <c r="N21" s="88" t="s">
        <v>117</v>
      </c>
      <c r="O21" s="88" t="s">
        <v>133</v>
      </c>
    </row>
    <row r="22" spans="1:15" x14ac:dyDescent="0.25">
      <c r="A22" s="111" t="s">
        <v>65</v>
      </c>
      <c r="B22" s="112" t="s">
        <v>17</v>
      </c>
      <c r="C22" s="113" t="s">
        <v>18</v>
      </c>
      <c r="E22" s="119" t="s">
        <v>66</v>
      </c>
      <c r="F22" s="120" t="s">
        <v>67</v>
      </c>
      <c r="G22" s="121" t="s">
        <v>66</v>
      </c>
      <c r="H22" s="122" t="s">
        <v>67</v>
      </c>
      <c r="M22" s="88" t="s">
        <v>108</v>
      </c>
      <c r="N22" s="88" t="s">
        <v>118</v>
      </c>
      <c r="O22" s="88" t="s">
        <v>116</v>
      </c>
    </row>
    <row r="23" spans="1:15" x14ac:dyDescent="0.25">
      <c r="A23" s="114">
        <v>2</v>
      </c>
      <c r="B23" s="110" t="e">
        <f>E23*$B$2+F23</f>
        <v>#N/A</v>
      </c>
      <c r="C23" s="115" t="e">
        <f>G23*$B$2+H23</f>
        <v>#N/A</v>
      </c>
      <c r="E23" s="123" t="e">
        <f>Calculatie!BX3</f>
        <v>#N/A</v>
      </c>
      <c r="F23" s="124" t="e">
        <f>Calculatie!BY3</f>
        <v>#N/A</v>
      </c>
      <c r="G23" s="125" t="e">
        <f>Calculatie!BX4</f>
        <v>#N/A</v>
      </c>
      <c r="H23" s="126" t="e">
        <f>Calculatie!BY4</f>
        <v>#N/A</v>
      </c>
      <c r="M23" s="88" t="s">
        <v>109</v>
      </c>
      <c r="N23" s="88" t="s">
        <v>130</v>
      </c>
      <c r="O23" s="88" t="s">
        <v>135</v>
      </c>
    </row>
    <row r="24" spans="1:15" x14ac:dyDescent="0.25">
      <c r="A24" s="114">
        <v>1</v>
      </c>
      <c r="B24" s="110" t="e">
        <f t="shared" ref="B24:B27" si="2">E24*$B$2+F24</f>
        <v>#N/A</v>
      </c>
      <c r="C24" s="115" t="e">
        <f t="shared" ref="C24:C27" si="3">G24*$B$2+H24</f>
        <v>#N/A</v>
      </c>
      <c r="E24" s="123" t="e">
        <f>Calculatie!BV3</f>
        <v>#N/A</v>
      </c>
      <c r="F24" s="124" t="e">
        <f>Calculatie!BW3</f>
        <v>#N/A</v>
      </c>
      <c r="G24" s="125" t="e">
        <f>Calculatie!BV4</f>
        <v>#N/A</v>
      </c>
      <c r="H24" s="126" t="e">
        <f>Calculatie!BW4</f>
        <v>#N/A</v>
      </c>
      <c r="M24" s="88" t="s">
        <v>110</v>
      </c>
      <c r="N24" s="88" t="s">
        <v>120</v>
      </c>
      <c r="O24" s="88" t="s">
        <v>136</v>
      </c>
    </row>
    <row r="25" spans="1:15" x14ac:dyDescent="0.25">
      <c r="A25" s="114">
        <v>0</v>
      </c>
      <c r="B25" s="110" t="e">
        <f t="shared" si="2"/>
        <v>#N/A</v>
      </c>
      <c r="C25" s="115" t="e">
        <f t="shared" si="3"/>
        <v>#N/A</v>
      </c>
      <c r="E25" s="123" t="e">
        <f>Calculatie!BT3</f>
        <v>#N/A</v>
      </c>
      <c r="F25" s="124" t="e">
        <f>Calculatie!BU3</f>
        <v>#N/A</v>
      </c>
      <c r="G25" s="125" t="e">
        <f>Calculatie!BT4</f>
        <v>#N/A</v>
      </c>
      <c r="H25" s="126" t="e">
        <f>Calculatie!BU4</f>
        <v>#N/A</v>
      </c>
      <c r="M25" s="88" t="s">
        <v>111</v>
      </c>
      <c r="N25" s="88" t="s">
        <v>159</v>
      </c>
      <c r="O25" s="88" t="s">
        <v>137</v>
      </c>
    </row>
    <row r="26" spans="1:15" x14ac:dyDescent="0.25">
      <c r="A26" s="114">
        <v>-1</v>
      </c>
      <c r="B26" s="110" t="e">
        <f t="shared" si="2"/>
        <v>#N/A</v>
      </c>
      <c r="C26" s="115" t="e">
        <f t="shared" si="3"/>
        <v>#N/A</v>
      </c>
      <c r="E26" s="123" t="e">
        <f>Calculatie!BR3</f>
        <v>#N/A</v>
      </c>
      <c r="F26" s="124" t="e">
        <f>Calculatie!BS3</f>
        <v>#N/A</v>
      </c>
      <c r="G26" s="125" t="e">
        <f>Calculatie!BR4</f>
        <v>#N/A</v>
      </c>
      <c r="H26" s="126" t="e">
        <f>Calculatie!BS4</f>
        <v>#N/A</v>
      </c>
      <c r="M26" s="88" t="s">
        <v>112</v>
      </c>
      <c r="N26" s="88" t="s">
        <v>122</v>
      </c>
      <c r="O26" s="88" t="s">
        <v>138</v>
      </c>
    </row>
    <row r="27" spans="1:15" ht="15.75" thickBot="1" x14ac:dyDescent="0.3">
      <c r="A27" s="116">
        <v>-2</v>
      </c>
      <c r="B27" s="117" t="e">
        <f t="shared" si="2"/>
        <v>#N/A</v>
      </c>
      <c r="C27" s="118" t="e">
        <f t="shared" si="3"/>
        <v>#N/A</v>
      </c>
      <c r="E27" s="130" t="e">
        <f>Calculatie!BP3</f>
        <v>#N/A</v>
      </c>
      <c r="F27" s="127" t="e">
        <f>Calculatie!BQ3</f>
        <v>#N/A</v>
      </c>
      <c r="G27" s="128" t="e">
        <f>Calculatie!BP4</f>
        <v>#N/A</v>
      </c>
      <c r="H27" s="129" t="e">
        <f>Calculatie!BQ4</f>
        <v>#N/A</v>
      </c>
      <c r="M27" s="88" t="s">
        <v>113</v>
      </c>
      <c r="N27" s="88" t="s">
        <v>123</v>
      </c>
      <c r="O27" s="88" t="s">
        <v>139</v>
      </c>
    </row>
    <row r="28" spans="1:15" x14ac:dyDescent="0.25">
      <c r="M28" s="88" t="s">
        <v>114</v>
      </c>
      <c r="N28" s="88" t="s">
        <v>124</v>
      </c>
      <c r="O28" s="88" t="s">
        <v>140</v>
      </c>
    </row>
    <row r="29" spans="1:15" x14ac:dyDescent="0.25">
      <c r="M29" s="88" t="s">
        <v>162</v>
      </c>
      <c r="N29" s="88" t="s">
        <v>125</v>
      </c>
      <c r="O29" s="88" t="s">
        <v>141</v>
      </c>
    </row>
    <row r="30" spans="1:15" x14ac:dyDescent="0.25">
      <c r="A30" s="87" t="s">
        <v>77</v>
      </c>
      <c r="M30" s="88" t="s">
        <v>165</v>
      </c>
      <c r="N30" s="88" t="s">
        <v>126</v>
      </c>
      <c r="O30" s="88" t="s">
        <v>142</v>
      </c>
    </row>
    <row r="31" spans="1:15" x14ac:dyDescent="0.25">
      <c r="A31" s="91" t="s">
        <v>73</v>
      </c>
      <c r="B31" s="91" t="s">
        <v>76</v>
      </c>
      <c r="C31" s="90" t="s">
        <v>62</v>
      </c>
      <c r="D31" s="90" t="s">
        <v>88</v>
      </c>
      <c r="E31" s="90" t="s">
        <v>89</v>
      </c>
      <c r="M31" s="88" t="s">
        <v>170</v>
      </c>
      <c r="N31" s="88" t="s">
        <v>127</v>
      </c>
      <c r="O31" s="88" t="s">
        <v>143</v>
      </c>
    </row>
    <row r="32" spans="1:15" x14ac:dyDescent="0.25">
      <c r="A32" s="88" t="s">
        <v>71</v>
      </c>
      <c r="B32" s="88" t="s">
        <v>75</v>
      </c>
      <c r="C32" s="87" t="s">
        <v>17</v>
      </c>
      <c r="D32" s="89">
        <v>46174</v>
      </c>
      <c r="E32" s="89">
        <v>38718</v>
      </c>
      <c r="M32" s="88" t="s">
        <v>173</v>
      </c>
      <c r="N32" s="88" t="s">
        <v>128</v>
      </c>
      <c r="O32" s="88" t="s">
        <v>144</v>
      </c>
    </row>
    <row r="33" spans="1:15" x14ac:dyDescent="0.25">
      <c r="A33" s="88" t="s">
        <v>74</v>
      </c>
      <c r="B33" s="88" t="s">
        <v>72</v>
      </c>
      <c r="C33" s="87" t="s">
        <v>18</v>
      </c>
      <c r="D33" s="89">
        <v>46538</v>
      </c>
      <c r="E33" s="89">
        <v>44561</v>
      </c>
      <c r="M33" s="88" t="s">
        <v>176</v>
      </c>
      <c r="N33" s="88" t="s">
        <v>121</v>
      </c>
      <c r="O33" s="88" t="s">
        <v>93</v>
      </c>
    </row>
    <row r="34" spans="1:15" x14ac:dyDescent="0.25">
      <c r="M34" s="88" t="s">
        <v>179</v>
      </c>
      <c r="N34" s="88" t="s">
        <v>129</v>
      </c>
      <c r="O34" s="88" t="s">
        <v>145</v>
      </c>
    </row>
    <row r="35" spans="1:15" x14ac:dyDescent="0.25">
      <c r="L35" s="152" t="str">
        <f>CONCATENATE("/ ",IF(ISERROR(VLOOKUP(K37,M:O,IF(K4="Omhoog",2,IF(K4="Omlaag",3,4)),FALSE)),"Geen 1e rij speler",VLOOKUP(K37,M:O,IF(K4="Omhoog",2,IF(K4="Omlaag",3,4)),FALSE)),"]")</f>
        <v>/ Geen 1e rij speler]</v>
      </c>
    </row>
    <row r="36" spans="1:15" x14ac:dyDescent="0.25">
      <c r="J36" s="91" t="s">
        <v>146</v>
      </c>
      <c r="K36" s="88">
        <f>'Verklaring dispensatie'!I7</f>
        <v>0</v>
      </c>
      <c r="N36" s="91" t="s">
        <v>71</v>
      </c>
      <c r="O36" s="91" t="s">
        <v>74</v>
      </c>
    </row>
    <row r="37" spans="1:15" x14ac:dyDescent="0.25">
      <c r="J37" s="91" t="s">
        <v>147</v>
      </c>
      <c r="K37" s="88" t="str">
        <f>IF(K36="Ja",CONCATENATE(K3,"-1e"),"")</f>
        <v/>
      </c>
      <c r="M37" s="88" t="s">
        <v>148</v>
      </c>
      <c r="N37" s="88" t="s">
        <v>158</v>
      </c>
      <c r="O37" s="88" t="s">
        <v>158</v>
      </c>
    </row>
    <row r="38" spans="1:15" x14ac:dyDescent="0.25">
      <c r="M38" s="88" t="s">
        <v>149</v>
      </c>
      <c r="N38" s="88" t="s">
        <v>158</v>
      </c>
      <c r="O38" s="88" t="s">
        <v>158</v>
      </c>
    </row>
    <row r="39" spans="1:15" x14ac:dyDescent="0.25">
      <c r="M39" s="88" t="s">
        <v>150</v>
      </c>
      <c r="N39" s="88" t="s">
        <v>158</v>
      </c>
      <c r="O39" s="88" t="s">
        <v>182</v>
      </c>
    </row>
    <row r="40" spans="1:15" x14ac:dyDescent="0.25">
      <c r="M40" s="88" t="s">
        <v>151</v>
      </c>
      <c r="N40" s="88" t="s">
        <v>182</v>
      </c>
      <c r="O40" s="88" t="s">
        <v>158</v>
      </c>
    </row>
    <row r="41" spans="1:15" x14ac:dyDescent="0.25">
      <c r="M41" s="88" t="s">
        <v>152</v>
      </c>
      <c r="N41" s="88" t="s">
        <v>158</v>
      </c>
      <c r="O41" s="88" t="s">
        <v>182</v>
      </c>
    </row>
    <row r="42" spans="1:15" x14ac:dyDescent="0.25">
      <c r="M42" s="88" t="s">
        <v>153</v>
      </c>
      <c r="N42" s="88" t="s">
        <v>182</v>
      </c>
      <c r="O42" s="88" t="s">
        <v>158</v>
      </c>
    </row>
    <row r="43" spans="1:15" x14ac:dyDescent="0.25">
      <c r="M43" s="88" t="s">
        <v>154</v>
      </c>
      <c r="N43" s="88" t="s">
        <v>158</v>
      </c>
      <c r="O43" s="88" t="s">
        <v>182</v>
      </c>
    </row>
    <row r="44" spans="1:15" x14ac:dyDescent="0.25">
      <c r="M44" s="88" t="s">
        <v>155</v>
      </c>
      <c r="N44" s="88" t="s">
        <v>182</v>
      </c>
      <c r="O44" s="88" t="s">
        <v>158</v>
      </c>
    </row>
    <row r="45" spans="1:15" x14ac:dyDescent="0.25">
      <c r="M45" s="88" t="s">
        <v>156</v>
      </c>
      <c r="N45" s="88" t="s">
        <v>158</v>
      </c>
      <c r="O45" s="88" t="s">
        <v>182</v>
      </c>
    </row>
    <row r="46" spans="1:15" x14ac:dyDescent="0.25">
      <c r="M46" s="88" t="s">
        <v>157</v>
      </c>
      <c r="N46" s="88" t="s">
        <v>182</v>
      </c>
      <c r="O46" s="88" t="s">
        <v>158</v>
      </c>
    </row>
    <row r="47" spans="1:15" x14ac:dyDescent="0.25">
      <c r="M47" s="88" t="s">
        <v>163</v>
      </c>
      <c r="N47" s="88" t="s">
        <v>158</v>
      </c>
      <c r="O47" s="88" t="s">
        <v>158</v>
      </c>
    </row>
    <row r="48" spans="1:15" x14ac:dyDescent="0.25">
      <c r="M48" s="88" t="s">
        <v>166</v>
      </c>
      <c r="N48" s="88" t="s">
        <v>182</v>
      </c>
      <c r="O48" s="88" t="s">
        <v>158</v>
      </c>
    </row>
    <row r="49" spans="13:15" x14ac:dyDescent="0.25">
      <c r="M49" s="88" t="s">
        <v>171</v>
      </c>
      <c r="N49" s="88" t="s">
        <v>158</v>
      </c>
      <c r="O49" s="88" t="s">
        <v>158</v>
      </c>
    </row>
    <row r="50" spans="13:15" x14ac:dyDescent="0.25">
      <c r="M50" s="88" t="s">
        <v>174</v>
      </c>
      <c r="N50" s="88" t="s">
        <v>158</v>
      </c>
      <c r="O50" s="88" t="s">
        <v>158</v>
      </c>
    </row>
    <row r="51" spans="13:15" x14ac:dyDescent="0.25">
      <c r="M51" s="88" t="s">
        <v>177</v>
      </c>
      <c r="N51" s="88" t="s">
        <v>158</v>
      </c>
      <c r="O51" s="88" t="s">
        <v>158</v>
      </c>
    </row>
    <row r="52" spans="13:15" x14ac:dyDescent="0.25">
      <c r="M52" s="88" t="s">
        <v>180</v>
      </c>
      <c r="N52" s="88" t="s">
        <v>158</v>
      </c>
      <c r="O52" s="88" t="s">
        <v>158</v>
      </c>
    </row>
  </sheetData>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outlinePr summaryRight="0"/>
  </sheetPr>
  <dimension ref="A1:BY4"/>
  <sheetViews>
    <sheetView zoomScaleNormal="100" workbookViewId="0">
      <selection activeCell="K47" sqref="K47:K48"/>
    </sheetView>
  </sheetViews>
  <sheetFormatPr defaultColWidth="9.140625" defaultRowHeight="15" outlineLevelCol="1" x14ac:dyDescent="0.25"/>
  <cols>
    <col min="1" max="1" width="4.140625" bestFit="1" customWidth="1"/>
    <col min="2" max="2" width="12.28515625" bestFit="1" customWidth="1"/>
    <col min="3" max="3" width="7.7109375" bestFit="1" customWidth="1"/>
    <col min="4" max="4" width="8" bestFit="1" customWidth="1"/>
    <col min="5" max="5" width="7" style="32" bestFit="1" customWidth="1"/>
    <col min="6" max="6" width="5.7109375" style="33" bestFit="1" customWidth="1"/>
    <col min="7" max="7" width="10.42578125" style="34" customWidth="1"/>
    <col min="8" max="13" width="9.140625" customWidth="1" outlineLevel="1"/>
    <col min="14" max="14" width="10.5703125" customWidth="1" outlineLevel="1"/>
    <col min="15" max="15" width="10.5703125" style="35" customWidth="1" outlineLevel="1"/>
    <col min="16" max="16" width="9.140625" style="34" customWidth="1"/>
    <col min="17" max="23" width="9.140625" customWidth="1" outlineLevel="1"/>
    <col min="24" max="24" width="9.140625" style="35" customWidth="1" outlineLevel="1"/>
    <col min="25" max="25" width="9.140625" style="34"/>
    <col min="26" max="31" width="9.140625" customWidth="1" outlineLevel="1"/>
    <col min="32" max="32" width="9.140625" style="35" customWidth="1" outlineLevel="1"/>
    <col min="33" max="33" width="10.7109375" style="34" bestFit="1" customWidth="1"/>
    <col min="34" max="44" width="9.140625" style="36" customWidth="1" outlineLevel="1"/>
    <col min="45" max="48" width="9.140625" customWidth="1" outlineLevel="1"/>
    <col min="49" max="49" width="9.140625" style="35" customWidth="1" outlineLevel="1"/>
    <col min="50" max="50" width="9.140625" style="34"/>
    <col min="51" max="54" width="9.140625" customWidth="1" outlineLevel="1"/>
    <col min="55" max="55" width="9.140625" style="35" customWidth="1" outlineLevel="1"/>
    <col min="56" max="56" width="9.140625" style="34"/>
    <col min="57" max="60" width="9.140625" customWidth="1" outlineLevel="1"/>
    <col min="61" max="61" width="9.140625" style="35" customWidth="1" outlineLevel="1"/>
    <col min="62" max="62" width="9.140625" style="34"/>
    <col min="63" max="65" width="9.140625" customWidth="1" outlineLevel="1"/>
    <col min="66" max="66" width="9.140625" style="35" customWidth="1" outlineLevel="1"/>
    <col min="67" max="67" width="9.140625" style="34"/>
    <col min="68" max="76" width="9.140625" style="36" customWidth="1" outlineLevel="1"/>
    <col min="77" max="77" width="9.140625" style="37" customWidth="1" outlineLevel="1"/>
  </cols>
  <sheetData>
    <row r="1" spans="1:77" x14ac:dyDescent="0.25">
      <c r="A1" s="3"/>
      <c r="B1" s="3"/>
      <c r="C1" s="3"/>
      <c r="D1" s="3"/>
      <c r="E1" s="4"/>
      <c r="F1" s="4"/>
      <c r="G1" s="5" t="s">
        <v>19</v>
      </c>
      <c r="H1" s="6"/>
      <c r="I1" s="6"/>
      <c r="J1" s="6"/>
      <c r="K1" s="6"/>
      <c r="L1" s="6"/>
      <c r="M1" s="6"/>
      <c r="N1" s="6"/>
      <c r="O1" s="7"/>
      <c r="P1" s="5" t="s">
        <v>20</v>
      </c>
      <c r="Q1" s="6"/>
      <c r="R1" s="6"/>
      <c r="S1" s="6"/>
      <c r="T1" s="6"/>
      <c r="U1" s="6"/>
      <c r="V1" s="6"/>
      <c r="W1" s="6"/>
      <c r="X1" s="7"/>
      <c r="Y1" s="5" t="s">
        <v>21</v>
      </c>
      <c r="Z1" s="6"/>
      <c r="AA1" s="6"/>
      <c r="AB1" s="6"/>
      <c r="AC1" s="6"/>
      <c r="AD1" s="6"/>
      <c r="AE1" s="6"/>
      <c r="AF1" s="7"/>
      <c r="AG1" s="5" t="s">
        <v>22</v>
      </c>
      <c r="AH1" s="8"/>
      <c r="AI1" s="8"/>
      <c r="AJ1" s="8"/>
      <c r="AK1" s="8"/>
      <c r="AL1" s="8"/>
      <c r="AM1" s="8"/>
      <c r="AN1" s="8"/>
      <c r="AO1" s="8"/>
      <c r="AP1" s="8"/>
      <c r="AQ1" s="8"/>
      <c r="AR1" s="8"/>
      <c r="AS1" s="6"/>
      <c r="AT1" s="6"/>
      <c r="AU1" s="6"/>
      <c r="AV1" s="6"/>
      <c r="AW1" s="7"/>
      <c r="AX1" s="5" t="s">
        <v>23</v>
      </c>
      <c r="AY1" s="6"/>
      <c r="AZ1" s="6"/>
      <c r="BA1" s="6"/>
      <c r="BB1" s="6"/>
      <c r="BC1" s="7"/>
      <c r="BD1" s="5" t="s">
        <v>24</v>
      </c>
      <c r="BE1" s="6"/>
      <c r="BF1" s="6"/>
      <c r="BG1" s="6"/>
      <c r="BH1" s="6"/>
      <c r="BI1" s="7"/>
      <c r="BJ1" s="5" t="s">
        <v>25</v>
      </c>
      <c r="BK1" s="6"/>
      <c r="BL1" s="6"/>
      <c r="BM1" s="6"/>
      <c r="BN1" s="7"/>
      <c r="BO1" s="5" t="s">
        <v>26</v>
      </c>
      <c r="BP1" s="8"/>
      <c r="BQ1" s="8"/>
      <c r="BR1" s="8"/>
      <c r="BS1" s="8"/>
      <c r="BT1" s="8"/>
      <c r="BU1" s="8"/>
      <c r="BV1" s="8"/>
      <c r="BW1" s="8"/>
      <c r="BX1" s="8"/>
      <c r="BY1" s="9"/>
    </row>
    <row r="2" spans="1:77" s="15" customFormat="1" x14ac:dyDescent="0.25">
      <c r="A2" s="10" t="s">
        <v>14</v>
      </c>
      <c r="B2" s="10" t="s">
        <v>3</v>
      </c>
      <c r="C2" s="10" t="s">
        <v>27</v>
      </c>
      <c r="D2" s="10" t="s">
        <v>28</v>
      </c>
      <c r="E2" s="11" t="s">
        <v>12</v>
      </c>
      <c r="F2" s="12" t="s">
        <v>13</v>
      </c>
      <c r="G2" s="13" t="s">
        <v>29</v>
      </c>
      <c r="H2" s="11">
        <v>-3</v>
      </c>
      <c r="I2" s="11">
        <v>-2.5</v>
      </c>
      <c r="J2" s="11">
        <v>-2</v>
      </c>
      <c r="K2" s="11">
        <v>-1</v>
      </c>
      <c r="L2" s="11">
        <v>0</v>
      </c>
      <c r="M2" s="11">
        <v>1</v>
      </c>
      <c r="N2" s="11">
        <v>2</v>
      </c>
      <c r="O2" s="14">
        <v>2.5</v>
      </c>
      <c r="P2" s="13" t="s">
        <v>29</v>
      </c>
      <c r="Q2" s="11">
        <v>-3</v>
      </c>
      <c r="R2" s="11">
        <v>-2.5</v>
      </c>
      <c r="S2" s="11">
        <v>-2</v>
      </c>
      <c r="T2" s="11">
        <v>-1</v>
      </c>
      <c r="U2" s="11">
        <v>0</v>
      </c>
      <c r="V2" s="11">
        <v>1</v>
      </c>
      <c r="W2" s="11">
        <v>2</v>
      </c>
      <c r="X2" s="14">
        <v>2.5</v>
      </c>
      <c r="Y2" s="13">
        <v>-3</v>
      </c>
      <c r="Z2" s="11">
        <v>-2.5</v>
      </c>
      <c r="AA2" s="11">
        <v>-2</v>
      </c>
      <c r="AB2" s="11">
        <v>-1</v>
      </c>
      <c r="AC2" s="11">
        <v>0</v>
      </c>
      <c r="AD2" s="11">
        <v>1</v>
      </c>
      <c r="AE2" s="11">
        <v>2</v>
      </c>
      <c r="AF2" s="14">
        <v>2.5</v>
      </c>
      <c r="AG2" s="13" t="s">
        <v>30</v>
      </c>
      <c r="AH2" s="11" t="s">
        <v>31</v>
      </c>
      <c r="AI2" s="11" t="s">
        <v>32</v>
      </c>
      <c r="AJ2" s="11" t="s">
        <v>33</v>
      </c>
      <c r="AK2" s="11" t="s">
        <v>34</v>
      </c>
      <c r="AL2" s="11" t="s">
        <v>35</v>
      </c>
      <c r="AM2" s="11" t="s">
        <v>36</v>
      </c>
      <c r="AN2" s="11" t="s">
        <v>37</v>
      </c>
      <c r="AO2" s="11" t="s">
        <v>38</v>
      </c>
      <c r="AP2" s="11" t="s">
        <v>39</v>
      </c>
      <c r="AQ2" s="11" t="s">
        <v>40</v>
      </c>
      <c r="AR2" s="11" t="s">
        <v>41</v>
      </c>
      <c r="AS2" s="11" t="s">
        <v>42</v>
      </c>
      <c r="AT2" s="11" t="s">
        <v>43</v>
      </c>
      <c r="AU2" s="11" t="s">
        <v>44</v>
      </c>
      <c r="AV2" s="11" t="s">
        <v>45</v>
      </c>
      <c r="AW2" s="14" t="s">
        <v>46</v>
      </c>
      <c r="AX2" s="13" t="s">
        <v>47</v>
      </c>
      <c r="AY2" s="11">
        <v>-2</v>
      </c>
      <c r="AZ2" s="11">
        <v>-1</v>
      </c>
      <c r="BA2" s="11">
        <v>0</v>
      </c>
      <c r="BB2" s="11">
        <v>1</v>
      </c>
      <c r="BC2" s="14">
        <v>2</v>
      </c>
      <c r="BD2" s="13" t="s">
        <v>47</v>
      </c>
      <c r="BE2" s="11">
        <v>-2</v>
      </c>
      <c r="BF2" s="11">
        <v>-1</v>
      </c>
      <c r="BG2" s="11">
        <v>0</v>
      </c>
      <c r="BH2" s="11">
        <v>1</v>
      </c>
      <c r="BI2" s="14">
        <v>2</v>
      </c>
      <c r="BJ2" s="13">
        <v>-2</v>
      </c>
      <c r="BK2" s="11">
        <v>-1</v>
      </c>
      <c r="BL2" s="11">
        <v>0</v>
      </c>
      <c r="BM2" s="11">
        <v>1</v>
      </c>
      <c r="BN2" s="14">
        <v>2</v>
      </c>
      <c r="BO2" s="13" t="s">
        <v>30</v>
      </c>
      <c r="BP2" s="11" t="s">
        <v>35</v>
      </c>
      <c r="BQ2" s="11" t="s">
        <v>36</v>
      </c>
      <c r="BR2" s="11" t="s">
        <v>37</v>
      </c>
      <c r="BS2" s="11" t="s">
        <v>38</v>
      </c>
      <c r="BT2" s="11" t="s">
        <v>39</v>
      </c>
      <c r="BU2" s="11" t="s">
        <v>40</v>
      </c>
      <c r="BV2" s="11" t="s">
        <v>41</v>
      </c>
      <c r="BW2" s="11" t="s">
        <v>42</v>
      </c>
      <c r="BX2" s="11" t="s">
        <v>43</v>
      </c>
      <c r="BY2" s="14" t="s">
        <v>44</v>
      </c>
    </row>
    <row r="3" spans="1:77" x14ac:dyDescent="0.25">
      <c r="A3" s="16" t="s">
        <v>16</v>
      </c>
      <c r="B3" s="16">
        <f>'Verklaring dispensatie'!$I$46</f>
        <v>0</v>
      </c>
      <c r="C3" s="17" t="e">
        <f>SUM(G3:O3)</f>
        <v>#N/A</v>
      </c>
      <c r="D3" s="17" t="e">
        <f>SUM(AX3:BC3)</f>
        <v>#DIV/0!</v>
      </c>
      <c r="E3" s="18">
        <f>100*'Verklaring dispensatie'!$I$47</f>
        <v>0</v>
      </c>
      <c r="F3" s="19" t="e">
        <f>'Verklaring dispensatie'!$I$48</f>
        <v>#DIV/0!</v>
      </c>
      <c r="G3" s="20" t="e">
        <f t="shared" ref="G3" si="0">P3*(Y$2+((0-Y3)/(Z3-Y3))*(Z$2-Y$2))</f>
        <v>#N/A</v>
      </c>
      <c r="H3" s="16" t="e">
        <f t="shared" ref="H3:N3" si="1">Q3*(Y$2+((0-Y3)/(Z3-Y3))*(Z$2-Y$2))</f>
        <v>#N/A</v>
      </c>
      <c r="I3" s="16" t="e">
        <f t="shared" si="1"/>
        <v>#N/A</v>
      </c>
      <c r="J3" s="16" t="e">
        <f t="shared" si="1"/>
        <v>#N/A</v>
      </c>
      <c r="K3" s="16" t="e">
        <f t="shared" si="1"/>
        <v>#N/A</v>
      </c>
      <c r="L3" s="16" t="e">
        <f>U3*(AC$2+((0-AC3)/(AD3-AC3))*(AD$2-AC$2))</f>
        <v>#N/A</v>
      </c>
      <c r="M3" s="16" t="e">
        <f t="shared" si="1"/>
        <v>#N/A</v>
      </c>
      <c r="N3" s="16" t="e">
        <f t="shared" si="1"/>
        <v>#N/A</v>
      </c>
      <c r="O3" s="21" t="e">
        <f t="shared" ref="O3" si="2">X3*(AE$2+((0-AE3)/(AF3-AE3))*(AF$2-AE$2))</f>
        <v>#N/A</v>
      </c>
      <c r="P3" s="20" t="e">
        <f t="shared" ref="P3" si="3">IF(Y3&lt;0,1,0)</f>
        <v>#N/A</v>
      </c>
      <c r="Q3" s="16" t="e">
        <f t="shared" ref="Q3:W3" si="4">IF(AND(Y3&gt;=0,Z3&lt;0),1,0)</f>
        <v>#N/A</v>
      </c>
      <c r="R3" s="16" t="e">
        <f t="shared" si="4"/>
        <v>#N/A</v>
      </c>
      <c r="S3" s="16" t="e">
        <f t="shared" si="4"/>
        <v>#N/A</v>
      </c>
      <c r="T3" s="16" t="e">
        <f t="shared" si="4"/>
        <v>#N/A</v>
      </c>
      <c r="U3" s="16" t="e">
        <f t="shared" si="4"/>
        <v>#N/A</v>
      </c>
      <c r="V3" s="16" t="e">
        <f t="shared" si="4"/>
        <v>#N/A</v>
      </c>
      <c r="W3" s="16" t="e">
        <f t="shared" si="4"/>
        <v>#N/A</v>
      </c>
      <c r="X3" s="21" t="e">
        <f t="shared" ref="X3" si="5">IF(AND(AE3&gt;=0,AF3&gt;0),1,0)</f>
        <v>#N/A</v>
      </c>
      <c r="Y3" s="22" t="e">
        <f>$E$3-(AH3*$B3+AI3)</f>
        <v>#N/A</v>
      </c>
      <c r="Z3" s="17" t="e">
        <f>$E3-(AJ3*$B3+AK3)</f>
        <v>#N/A</v>
      </c>
      <c r="AA3" s="17" t="e">
        <f>$E3-(AL3*$B3+AM3)</f>
        <v>#N/A</v>
      </c>
      <c r="AB3" s="17" t="e">
        <f>$E3-(AN3*$B3+AO3)</f>
        <v>#N/A</v>
      </c>
      <c r="AC3" s="17" t="e">
        <f>$E3-(AP3*$B3+AQ3)</f>
        <v>#N/A</v>
      </c>
      <c r="AD3" s="17" t="e">
        <f>$E3-(AR3*$B3+AS3)</f>
        <v>#N/A</v>
      </c>
      <c r="AE3" s="17" t="e">
        <f>$E3-(AT3*$B3+AU3)</f>
        <v>#N/A</v>
      </c>
      <c r="AF3" s="23" t="e">
        <f>$E3-(AV3*$B3+AW3)</f>
        <v>#N/A</v>
      </c>
      <c r="AG3" s="22">
        <f>TRUNC($B3,0)</f>
        <v>0</v>
      </c>
      <c r="AH3" s="17" t="e">
        <f>VLOOKUP($AG3,'Lengte M - lijnstukken'!$A:$Q,2,TRUE)</f>
        <v>#N/A</v>
      </c>
      <c r="AI3" s="17" t="e">
        <f>VLOOKUP($AG3,'Lengte M - lijnstukken'!$A:$Q,3,TRUE)</f>
        <v>#N/A</v>
      </c>
      <c r="AJ3" s="17" t="e">
        <f>VLOOKUP($AG3,'Lengte M - lijnstukken'!$A:$Q,4,TRUE)</f>
        <v>#N/A</v>
      </c>
      <c r="AK3" s="17" t="e">
        <f>VLOOKUP($AG3,'Lengte M - lijnstukken'!$A:$Q,5,TRUE)</f>
        <v>#N/A</v>
      </c>
      <c r="AL3" s="17" t="e">
        <f>VLOOKUP($AG3,'Lengte M - lijnstukken'!$A:$Q,6,TRUE)</f>
        <v>#N/A</v>
      </c>
      <c r="AM3" s="17" t="e">
        <f>VLOOKUP($AG3,'Lengte M - lijnstukken'!$A:$Q,7,TRUE)</f>
        <v>#N/A</v>
      </c>
      <c r="AN3" s="17" t="e">
        <f>VLOOKUP($AG3,'Lengte M - lijnstukken'!$A:$Q,8,TRUE)</f>
        <v>#N/A</v>
      </c>
      <c r="AO3" s="17" t="e">
        <f>VLOOKUP($AG3,'Lengte M - lijnstukken'!$A:$Q,9,TRUE)</f>
        <v>#N/A</v>
      </c>
      <c r="AP3" s="17" t="e">
        <f>VLOOKUP($AG3,'Lengte M - lijnstukken'!$A:$Q,10,TRUE)</f>
        <v>#N/A</v>
      </c>
      <c r="AQ3" s="17" t="e">
        <f>VLOOKUP($AG3,'Lengte M - lijnstukken'!$A:$Q,11,TRUE)</f>
        <v>#N/A</v>
      </c>
      <c r="AR3" s="17" t="e">
        <f>VLOOKUP($AG3,'Lengte M - lijnstukken'!$A:$Q,12,TRUE)</f>
        <v>#N/A</v>
      </c>
      <c r="AS3" s="17" t="e">
        <f>VLOOKUP($AG3,'Lengte M - lijnstukken'!$A:$Q,13,TRUE)</f>
        <v>#N/A</v>
      </c>
      <c r="AT3" s="17" t="e">
        <f>VLOOKUP($AG3,'Lengte M - lijnstukken'!$A:$Q,14,TRUE)</f>
        <v>#N/A</v>
      </c>
      <c r="AU3" s="17" t="e">
        <f>VLOOKUP($AG3,'Lengte M - lijnstukken'!$A:$Q,15,TRUE)</f>
        <v>#N/A</v>
      </c>
      <c r="AV3" s="17" t="e">
        <f>VLOOKUP($AG3,'Lengte M - lijnstukken'!$A:$Q,16,TRUE)</f>
        <v>#N/A</v>
      </c>
      <c r="AW3" s="23" t="e">
        <f>VLOOKUP($AG3,'Lengte M - lijnstukken'!$A:$Q,17,TRUE)</f>
        <v>#N/A</v>
      </c>
      <c r="AX3" s="20" t="e">
        <f t="shared" ref="AX3" si="6">BD3*(BJ$2+((0-BJ3)/(BK3-BJ3))*(BK$2-BJ$2))</f>
        <v>#DIV/0!</v>
      </c>
      <c r="AY3" s="16" t="e">
        <f t="shared" ref="AY3:BB3" si="7">BE3*(BJ$2+((0-BJ3)/(BK3-BJ3))*(BK$2-BJ$2))</f>
        <v>#DIV/0!</v>
      </c>
      <c r="AZ3" s="16" t="e">
        <f t="shared" si="7"/>
        <v>#DIV/0!</v>
      </c>
      <c r="BA3" s="16" t="e">
        <f t="shared" si="7"/>
        <v>#DIV/0!</v>
      </c>
      <c r="BB3" s="16" t="e">
        <f t="shared" si="7"/>
        <v>#DIV/0!</v>
      </c>
      <c r="BC3" s="21" t="e">
        <f t="shared" ref="BC3" si="8">BI3*(BM$2+((0-BM3)/(BN3-BM3))*(BN$2-BM$2))</f>
        <v>#DIV/0!</v>
      </c>
      <c r="BD3" s="20" t="e">
        <f t="shared" ref="BD3" si="9">IF(BJ3&lt;0,1,0)</f>
        <v>#DIV/0!</v>
      </c>
      <c r="BE3" s="16" t="e">
        <f t="shared" ref="BE3:BH3" si="10">IF(AND(BJ3&gt;=0,BK3&lt;0),1,0)</f>
        <v>#DIV/0!</v>
      </c>
      <c r="BF3" s="16" t="e">
        <f t="shared" si="10"/>
        <v>#DIV/0!</v>
      </c>
      <c r="BG3" s="16" t="e">
        <f t="shared" si="10"/>
        <v>#DIV/0!</v>
      </c>
      <c r="BH3" s="16" t="e">
        <f t="shared" si="10"/>
        <v>#DIV/0!</v>
      </c>
      <c r="BI3" s="21" t="e">
        <f t="shared" ref="BI3" si="11">IF(AND(BM3&gt;=0,BN3&gt;0),1,0)</f>
        <v>#DIV/0!</v>
      </c>
      <c r="BJ3" s="22" t="e">
        <f>$F3-(BP3*$B3+BQ3)</f>
        <v>#DIV/0!</v>
      </c>
      <c r="BK3" s="17" t="e">
        <f>$F3-(BR3*$B3+BS3)</f>
        <v>#DIV/0!</v>
      </c>
      <c r="BL3" s="17" t="e">
        <f>$F3-(BT3*$B3+BU3)</f>
        <v>#DIV/0!</v>
      </c>
      <c r="BM3" s="17" t="e">
        <f>$F3-(BV3*$B3+BW3)</f>
        <v>#DIV/0!</v>
      </c>
      <c r="BN3" s="23" t="e">
        <f>$F3-(BX3*$B3+BY3)</f>
        <v>#DIV/0!</v>
      </c>
      <c r="BO3" s="22">
        <f>TRUNC($B3,0)</f>
        <v>0</v>
      </c>
      <c r="BP3" s="17" t="e">
        <f>VLOOKUP($BO3,'BMI M - lijnstukken'!$A:$K,2,TRUE)</f>
        <v>#N/A</v>
      </c>
      <c r="BQ3" s="17" t="e">
        <f>VLOOKUP($BO3,'BMI M - lijnstukken'!$A:$K,3,TRUE)</f>
        <v>#N/A</v>
      </c>
      <c r="BR3" s="17" t="e">
        <f>VLOOKUP($BO3,'BMI M - lijnstukken'!$A:$K,4,TRUE)</f>
        <v>#N/A</v>
      </c>
      <c r="BS3" s="17" t="e">
        <f>VLOOKUP($BO3,'BMI M - lijnstukken'!$A:$K,5,TRUE)</f>
        <v>#N/A</v>
      </c>
      <c r="BT3" s="17" t="e">
        <f>VLOOKUP($BO3,'BMI M - lijnstukken'!$A:$K,6,TRUE)</f>
        <v>#N/A</v>
      </c>
      <c r="BU3" s="17" t="e">
        <f>VLOOKUP($BO3,'BMI M - lijnstukken'!$A:$K,7,TRUE)</f>
        <v>#N/A</v>
      </c>
      <c r="BV3" s="17" t="e">
        <f>VLOOKUP($BO3,'BMI M - lijnstukken'!$A:$K,8,TRUE)</f>
        <v>#N/A</v>
      </c>
      <c r="BW3" s="17" t="e">
        <f>VLOOKUP($BO3,'BMI M - lijnstukken'!$A:$K,9,TRUE)</f>
        <v>#N/A</v>
      </c>
      <c r="BX3" s="17" t="e">
        <f>VLOOKUP($BO3,'BMI M - lijnstukken'!$A:$K,10,TRUE)</f>
        <v>#N/A</v>
      </c>
      <c r="BY3" s="23" t="e">
        <f>VLOOKUP($BO3,'BMI M - lijnstukken'!$A:$K,11,TRUE)</f>
        <v>#N/A</v>
      </c>
    </row>
    <row r="4" spans="1:77" x14ac:dyDescent="0.25">
      <c r="A4" s="24" t="s">
        <v>15</v>
      </c>
      <c r="B4" s="24">
        <f>'Verklaring dispensatie'!$I$46</f>
        <v>0</v>
      </c>
      <c r="C4" s="25" t="e">
        <f>SUM(G4:O4)</f>
        <v>#N/A</v>
      </c>
      <c r="D4" s="25" t="e">
        <f>SUM(AX4:BC4)</f>
        <v>#DIV/0!</v>
      </c>
      <c r="E4" s="26">
        <f>100*'Verklaring dispensatie'!$I$47</f>
        <v>0</v>
      </c>
      <c r="F4" s="27" t="e">
        <f>'Verklaring dispensatie'!$I$48</f>
        <v>#DIV/0!</v>
      </c>
      <c r="G4" s="28" t="e">
        <f t="shared" ref="G4" si="12">P4*(Y$2+((0-Y4)/(Z4-Y4))*(Z$2-Y$2))</f>
        <v>#N/A</v>
      </c>
      <c r="H4" s="24" t="e">
        <f t="shared" ref="H4:J4" si="13">Q4*(Y$2+((0-Y4)/(Z4-Y4))*(Z$2-Y$2))</f>
        <v>#N/A</v>
      </c>
      <c r="I4" s="24" t="e">
        <f t="shared" si="13"/>
        <v>#N/A</v>
      </c>
      <c r="J4" s="24" t="e">
        <f t="shared" si="13"/>
        <v>#N/A</v>
      </c>
      <c r="K4" s="24" t="e">
        <f t="shared" ref="K4:M4" si="14">T4*(AB$2+((0-AB4)/(AC4-AB4))*(AC$2-AB$2))</f>
        <v>#N/A</v>
      </c>
      <c r="L4" s="24" t="e">
        <f t="shared" si="14"/>
        <v>#N/A</v>
      </c>
      <c r="M4" s="24" t="e">
        <f t="shared" si="14"/>
        <v>#N/A</v>
      </c>
      <c r="N4" s="24" t="e">
        <f t="shared" ref="N4" si="15">W4*(AE$2+((0-AE4)/(AF4-AE4))*(AF$2-AE$2))</f>
        <v>#N/A</v>
      </c>
      <c r="O4" s="29" t="e">
        <f t="shared" ref="O4" si="16">X4*(AE$2+((0-AE4)/(AF4-AE4))*(AF$2-AE$2))</f>
        <v>#N/A</v>
      </c>
      <c r="P4" s="28" t="e">
        <f t="shared" ref="P4" si="17">IF(Y4&lt;0,1,0)</f>
        <v>#N/A</v>
      </c>
      <c r="Q4" s="24" t="e">
        <f t="shared" ref="Q4:S4" si="18">IF(AND(Y4&gt;=0,Z4&lt;0),1,0)</f>
        <v>#N/A</v>
      </c>
      <c r="R4" s="24" t="e">
        <f t="shared" si="18"/>
        <v>#N/A</v>
      </c>
      <c r="S4" s="24" t="e">
        <f t="shared" si="18"/>
        <v>#N/A</v>
      </c>
      <c r="T4" s="24" t="e">
        <f t="shared" ref="T4:V4" si="19">IF(AND(AB4&gt;=0,AC4&lt;0),1,0)</f>
        <v>#N/A</v>
      </c>
      <c r="U4" s="24" t="e">
        <f t="shared" si="19"/>
        <v>#N/A</v>
      </c>
      <c r="V4" s="24" t="e">
        <f t="shared" si="19"/>
        <v>#N/A</v>
      </c>
      <c r="W4" s="24" t="e">
        <f t="shared" ref="W4" si="20">IF(AND(AE4&gt;=0,AF4&lt;0),1,0)</f>
        <v>#N/A</v>
      </c>
      <c r="X4" s="29" t="e">
        <f t="shared" ref="X4" si="21">IF(AND(AE4&gt;=0,AF4&gt;0),1,0)</f>
        <v>#N/A</v>
      </c>
      <c r="Y4" s="30" t="e">
        <f>$E4-(AH4*$B4+AI4)</f>
        <v>#N/A</v>
      </c>
      <c r="Z4" s="25" t="e">
        <f>$E4-(AJ4*$B4+AK4)</f>
        <v>#N/A</v>
      </c>
      <c r="AA4" s="25" t="e">
        <f>$E4-(AL4*$B4+AM4)</f>
        <v>#N/A</v>
      </c>
      <c r="AB4" s="25" t="e">
        <f>$E4-(AN4*$B4+AO4)</f>
        <v>#N/A</v>
      </c>
      <c r="AC4" s="25" t="e">
        <f>$E4-(AP4*$B4+AQ4)</f>
        <v>#N/A</v>
      </c>
      <c r="AD4" s="25" t="e">
        <f>$E4-(AR4*$B4+AS4)</f>
        <v>#N/A</v>
      </c>
      <c r="AE4" s="25" t="e">
        <f>$E4-(AT4*$B4+AU4)</f>
        <v>#N/A</v>
      </c>
      <c r="AF4" s="31" t="e">
        <f>$E4-(AV4*$B4+AW4)</f>
        <v>#N/A</v>
      </c>
      <c r="AG4" s="30">
        <f>TRUNC($B4,0)</f>
        <v>0</v>
      </c>
      <c r="AH4" s="25" t="e">
        <f>VLOOKUP($AG4,'Lengte V - lijnstukken'!$A:$Q,2,TRUE)</f>
        <v>#N/A</v>
      </c>
      <c r="AI4" s="25" t="e">
        <f>VLOOKUP($AG4,'Lengte V - lijnstukken'!$A:$Q,3,TRUE)</f>
        <v>#N/A</v>
      </c>
      <c r="AJ4" s="25" t="e">
        <f>VLOOKUP($AG4,'Lengte V - lijnstukken'!$A:$Q,4,TRUE)</f>
        <v>#N/A</v>
      </c>
      <c r="AK4" s="25" t="e">
        <f>VLOOKUP($AG4,'Lengte V - lijnstukken'!$A:$Q,5,TRUE)</f>
        <v>#N/A</v>
      </c>
      <c r="AL4" s="25" t="e">
        <f>VLOOKUP($AG4,'Lengte V - lijnstukken'!$A:$Q,6,TRUE)</f>
        <v>#N/A</v>
      </c>
      <c r="AM4" s="25" t="e">
        <f>VLOOKUP($AG4,'Lengte V - lijnstukken'!$A:$Q,7,TRUE)</f>
        <v>#N/A</v>
      </c>
      <c r="AN4" s="25" t="e">
        <f>VLOOKUP($AG4,'Lengte V - lijnstukken'!$A:$Q,8,TRUE)</f>
        <v>#N/A</v>
      </c>
      <c r="AO4" s="25" t="e">
        <f>VLOOKUP($AG4,'Lengte V - lijnstukken'!$A:$Q,9,TRUE)</f>
        <v>#N/A</v>
      </c>
      <c r="AP4" s="25" t="e">
        <f>VLOOKUP($AG4,'Lengte V - lijnstukken'!$A:$Q,10,TRUE)</f>
        <v>#N/A</v>
      </c>
      <c r="AQ4" s="25" t="e">
        <f>VLOOKUP($AG4,'Lengte V - lijnstukken'!$A:$Q,11,TRUE)</f>
        <v>#N/A</v>
      </c>
      <c r="AR4" s="25" t="e">
        <f>VLOOKUP($AG4,'Lengte V - lijnstukken'!$A:$Q,12,TRUE)</f>
        <v>#N/A</v>
      </c>
      <c r="AS4" s="25" t="e">
        <f>VLOOKUP($AG4,'Lengte V - lijnstukken'!$A:$Q,13,TRUE)</f>
        <v>#N/A</v>
      </c>
      <c r="AT4" s="25" t="e">
        <f>VLOOKUP($AG4,'Lengte V - lijnstukken'!$A:$Q,14,TRUE)</f>
        <v>#N/A</v>
      </c>
      <c r="AU4" s="25" t="e">
        <f>VLOOKUP($AG4,'Lengte V - lijnstukken'!$A:$Q,15,TRUE)</f>
        <v>#N/A</v>
      </c>
      <c r="AV4" s="25" t="e">
        <f>VLOOKUP($AG4,'Lengte V - lijnstukken'!$A:$Q,16,TRUE)</f>
        <v>#N/A</v>
      </c>
      <c r="AW4" s="31" t="e">
        <f>VLOOKUP($AG4,'Lengte V - lijnstukken'!$A:$Q,17,TRUE)</f>
        <v>#N/A</v>
      </c>
      <c r="AX4" s="28" t="e">
        <f t="shared" ref="AX4" si="22">BD4*(BJ$2+((0-BJ4)/(BK4-BJ4))*(BK$2-BJ$2))</f>
        <v>#DIV/0!</v>
      </c>
      <c r="AY4" s="24" t="e">
        <f t="shared" ref="AY4:BA4" si="23">BE4*(BJ$2+((0-BJ4)/(BK4-BJ4))*(BK$2-BJ$2))</f>
        <v>#DIV/0!</v>
      </c>
      <c r="AZ4" s="24" t="e">
        <f t="shared" si="23"/>
        <v>#DIV/0!</v>
      </c>
      <c r="BA4" s="24" t="e">
        <f t="shared" si="23"/>
        <v>#DIV/0!</v>
      </c>
      <c r="BB4" s="24" t="e">
        <f t="shared" ref="BB4" si="24">BH4*(BM$2+((0-BM4)/(BN4-BM4))*(BN$2-BM$2))</f>
        <v>#DIV/0!</v>
      </c>
      <c r="BC4" s="29" t="e">
        <f t="shared" ref="BC4" si="25">BI4*(BM$2+((0-BM4)/(BN4-BM4))*(BN$2-BM$2))</f>
        <v>#DIV/0!</v>
      </c>
      <c r="BD4" s="28" t="e">
        <f t="shared" ref="BD4" si="26">IF(BJ4&lt;0,1,0)</f>
        <v>#DIV/0!</v>
      </c>
      <c r="BE4" s="24" t="e">
        <f t="shared" ref="BE4:BG4" si="27">IF(AND(BJ4&gt;=0,BK4&lt;0),1,0)</f>
        <v>#DIV/0!</v>
      </c>
      <c r="BF4" s="24" t="e">
        <f t="shared" si="27"/>
        <v>#DIV/0!</v>
      </c>
      <c r="BG4" s="24" t="e">
        <f t="shared" si="27"/>
        <v>#DIV/0!</v>
      </c>
      <c r="BH4" s="24" t="e">
        <f t="shared" ref="BH4" si="28">IF(AND(BM4&gt;=0,BN4&lt;0),1,0)</f>
        <v>#DIV/0!</v>
      </c>
      <c r="BI4" s="29" t="e">
        <f t="shared" ref="BI4" si="29">IF(AND(BM4&gt;=0,BN4&gt;0),1,0)</f>
        <v>#DIV/0!</v>
      </c>
      <c r="BJ4" s="30" t="e">
        <f>$F4-(BP4*$B4+BQ4)</f>
        <v>#DIV/0!</v>
      </c>
      <c r="BK4" s="25" t="e">
        <f>$F4-(BR4*$B4+BS4)</f>
        <v>#DIV/0!</v>
      </c>
      <c r="BL4" s="25" t="e">
        <f>$F4-(BT4*$B4+BU4)</f>
        <v>#DIV/0!</v>
      </c>
      <c r="BM4" s="25" t="e">
        <f>$F4-(BV4*$B4+BW4)</f>
        <v>#DIV/0!</v>
      </c>
      <c r="BN4" s="31" t="e">
        <f>$F4-(BX4*$B4+BY4)</f>
        <v>#DIV/0!</v>
      </c>
      <c r="BO4" s="30">
        <f>TRUNC($B4,0)</f>
        <v>0</v>
      </c>
      <c r="BP4" s="25" t="e">
        <f>VLOOKUP($BO4,'BMI V - lijnstukken'!$A:$K,2,TRUE)</f>
        <v>#N/A</v>
      </c>
      <c r="BQ4" s="25" t="e">
        <f>VLOOKUP($BO4,'BMI V - lijnstukken'!$A:$K,3,TRUE)</f>
        <v>#N/A</v>
      </c>
      <c r="BR4" s="25" t="e">
        <f>VLOOKUP($BO4,'BMI V - lijnstukken'!$A:$K,4,TRUE)</f>
        <v>#N/A</v>
      </c>
      <c r="BS4" s="25" t="e">
        <f>VLOOKUP($BO4,'BMI V - lijnstukken'!$A:$K,5,TRUE)</f>
        <v>#N/A</v>
      </c>
      <c r="BT4" s="25" t="e">
        <f>VLOOKUP($BO4,'BMI V - lijnstukken'!$A:$K,6,TRUE)</f>
        <v>#N/A</v>
      </c>
      <c r="BU4" s="25" t="e">
        <f>VLOOKUP($BO4,'BMI V - lijnstukken'!$A:$K,7,TRUE)</f>
        <v>#N/A</v>
      </c>
      <c r="BV4" s="25" t="e">
        <f>VLOOKUP($BO4,'BMI V - lijnstukken'!$A:$K,8,TRUE)</f>
        <v>#N/A</v>
      </c>
      <c r="BW4" s="25" t="e">
        <f>VLOOKUP($BO4,'BMI V - lijnstukken'!$A:$K,9,TRUE)</f>
        <v>#N/A</v>
      </c>
      <c r="BX4" s="25" t="e">
        <f>VLOOKUP($BO4,'BMI V - lijnstukken'!$A:$K,10,TRUE)</f>
        <v>#N/A</v>
      </c>
      <c r="BY4" s="31" t="e">
        <f>VLOOKUP($BO4,'BMI V - lijnstukken'!$A:$K,11,TRUE)</f>
        <v>#N/A</v>
      </c>
    </row>
  </sheetData>
  <sheetProtection sheet="1" objects="1" scenarios="1"/>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1"/>
  <sheetViews>
    <sheetView workbookViewId="0">
      <selection activeCell="K47" sqref="K47:K48"/>
    </sheetView>
  </sheetViews>
  <sheetFormatPr defaultRowHeight="15" x14ac:dyDescent="0.25"/>
  <sheetData/>
  <sheetProtection sheet="1" objects="1" scenarios="1"/>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Q21"/>
  <sheetViews>
    <sheetView workbookViewId="0">
      <selection activeCell="K47" sqref="K47:K48"/>
    </sheetView>
  </sheetViews>
  <sheetFormatPr defaultRowHeight="15" x14ac:dyDescent="0.25"/>
  <cols>
    <col min="1" max="1" width="9.140625" style="59"/>
  </cols>
  <sheetData>
    <row r="1" spans="1:17" x14ac:dyDescent="0.25">
      <c r="A1" s="38"/>
      <c r="B1" s="39" t="s">
        <v>31</v>
      </c>
      <c r="C1" s="40" t="s">
        <v>32</v>
      </c>
      <c r="D1" s="39" t="s">
        <v>33</v>
      </c>
      <c r="E1" s="40" t="s">
        <v>34</v>
      </c>
      <c r="F1" s="39" t="s">
        <v>35</v>
      </c>
      <c r="G1" s="40" t="s">
        <v>36</v>
      </c>
      <c r="H1" s="39" t="s">
        <v>37</v>
      </c>
      <c r="I1" s="40" t="s">
        <v>38</v>
      </c>
      <c r="J1" s="39" t="s">
        <v>39</v>
      </c>
      <c r="K1" s="40" t="s">
        <v>40</v>
      </c>
      <c r="L1" s="39" t="s">
        <v>41</v>
      </c>
      <c r="M1" s="40" t="s">
        <v>42</v>
      </c>
      <c r="N1" s="39" t="s">
        <v>43</v>
      </c>
      <c r="O1" s="40" t="s">
        <v>44</v>
      </c>
      <c r="P1" s="39" t="s">
        <v>45</v>
      </c>
      <c r="Q1" s="41" t="s">
        <v>46</v>
      </c>
    </row>
    <row r="2" spans="1:17" x14ac:dyDescent="0.25">
      <c r="A2" s="42">
        <v>1</v>
      </c>
      <c r="B2" s="43">
        <f>'Lengte M norm'!B4-'Lengte M norm'!B3</f>
        <v>9</v>
      </c>
      <c r="C2" s="44">
        <f>'Lengte M norm'!B3-'Lengte M - lijnstukken'!B2*'Lengte M - lijnstukken'!$A2</f>
        <v>59</v>
      </c>
      <c r="D2" s="45">
        <f>'Lengte M norm'!D4-'Lengte M norm'!D3</f>
        <v>10.5</v>
      </c>
      <c r="E2" s="46">
        <f>'Lengte M norm'!D3-'Lengte M - lijnstukken'!D2*'Lengte M - lijnstukken'!$A2</f>
        <v>59.5</v>
      </c>
      <c r="F2" s="45">
        <f>'Lengte M norm'!F4-'Lengte M norm'!F3</f>
        <v>10.5</v>
      </c>
      <c r="G2" s="46">
        <f>'Lengte M norm'!F3-'Lengte M - lijnstukken'!F2*'Lengte M - lijnstukken'!$A2</f>
        <v>61</v>
      </c>
      <c r="H2" s="45">
        <f>'Lengte M norm'!H4-'Lengte M norm'!H3</f>
        <v>11</v>
      </c>
      <c r="I2" s="46">
        <f>'Lengte M norm'!H3-'Lengte M - lijnstukken'!H2*'Lengte M - lijnstukken'!$A2</f>
        <v>63</v>
      </c>
      <c r="J2" s="45">
        <f>'Lengte M norm'!J4-'Lengte M norm'!J3</f>
        <v>11</v>
      </c>
      <c r="K2" s="46">
        <f>'Lengte M norm'!J3-'Lengte M - lijnstukken'!J2*'Lengte M - lijnstukken'!$A2</f>
        <v>66</v>
      </c>
      <c r="L2" s="45">
        <f>'Lengte M norm'!L4-'Lengte M norm'!L3</f>
        <v>12</v>
      </c>
      <c r="M2" s="46">
        <f>'Lengte M norm'!L3-'Lengte M - lijnstukken'!L2*'Lengte M - lijnstukken'!$A2</f>
        <v>67.5</v>
      </c>
      <c r="N2" s="45">
        <f>'Lengte M norm'!N4-'Lengte M norm'!N3</f>
        <v>12.5</v>
      </c>
      <c r="O2" s="46">
        <f>'Lengte M norm'!N3-'Lengte M - lijnstukken'!N2*'Lengte M - lijnstukken'!$A2</f>
        <v>69.5</v>
      </c>
      <c r="P2" s="45">
        <f>'Lengte M norm'!P4-'Lengte M norm'!P3</f>
        <v>11.5</v>
      </c>
      <c r="Q2" s="47">
        <f>'Lengte M norm'!P3-'Lengte M - lijnstukken'!P2*'Lengte M - lijnstukken'!$A2</f>
        <v>73</v>
      </c>
    </row>
    <row r="3" spans="1:17" x14ac:dyDescent="0.25">
      <c r="A3" s="42">
        <v>2</v>
      </c>
      <c r="B3" s="48">
        <f>'Lengte M norm'!B5-'Lengte M norm'!B4</f>
        <v>9</v>
      </c>
      <c r="C3" s="49">
        <f>'Lengte M norm'!B4-'Lengte M - lijnstukken'!B3*'Lengte M - lijnstukken'!$A3</f>
        <v>59</v>
      </c>
      <c r="D3" s="50">
        <f>'Lengte M norm'!D5-'Lengte M norm'!D4</f>
        <v>7.5</v>
      </c>
      <c r="E3" s="51">
        <f>'Lengte M norm'!D4-'Lengte M - lijnstukken'!D3*'Lengte M - lijnstukken'!$A3</f>
        <v>65.5</v>
      </c>
      <c r="F3" s="50">
        <f>'Lengte M norm'!F5-'Lengte M norm'!F4</f>
        <v>8</v>
      </c>
      <c r="G3" s="51">
        <f>'Lengte M norm'!F4-'Lengte M - lijnstukken'!F3*'Lengte M - lijnstukken'!$A3</f>
        <v>66</v>
      </c>
      <c r="H3" s="50">
        <f>'Lengte M norm'!H5-'Lengte M norm'!H4</f>
        <v>8</v>
      </c>
      <c r="I3" s="51">
        <f>'Lengte M norm'!H4-'Lengte M - lijnstukken'!H3*'Lengte M - lijnstukken'!$A3</f>
        <v>69</v>
      </c>
      <c r="J3" s="50">
        <f>'Lengte M norm'!J5-'Lengte M norm'!J4</f>
        <v>9</v>
      </c>
      <c r="K3" s="51">
        <f>'Lengte M norm'!J4-'Lengte M - lijnstukken'!J3*'Lengte M - lijnstukken'!$A3</f>
        <v>70</v>
      </c>
      <c r="L3" s="50">
        <f>'Lengte M norm'!L5-'Lengte M norm'!L4</f>
        <v>8.5</v>
      </c>
      <c r="M3" s="51">
        <f>'Lengte M norm'!L4-'Lengte M - lijnstukken'!L3*'Lengte M - lijnstukken'!$A3</f>
        <v>74.5</v>
      </c>
      <c r="N3" s="50">
        <f>'Lengte M norm'!N5-'Lengte M norm'!N4</f>
        <v>9.5</v>
      </c>
      <c r="O3" s="51">
        <f>'Lengte M norm'!N4-'Lengte M - lijnstukken'!N3*'Lengte M - lijnstukken'!$A3</f>
        <v>75.5</v>
      </c>
      <c r="P3" s="50">
        <f>'Lengte M norm'!P5-'Lengte M norm'!P4</f>
        <v>10</v>
      </c>
      <c r="Q3" s="52">
        <f>'Lengte M norm'!P4-'Lengte M - lijnstukken'!P3*'Lengte M - lijnstukken'!$A3</f>
        <v>76</v>
      </c>
    </row>
    <row r="4" spans="1:17" x14ac:dyDescent="0.25">
      <c r="A4" s="42">
        <v>3</v>
      </c>
      <c r="B4" s="48">
        <f>'Lengte M norm'!B6-'Lengte M norm'!B5</f>
        <v>7</v>
      </c>
      <c r="C4" s="49">
        <f>'Lengte M norm'!B5-'Lengte M - lijnstukken'!B4*'Lengte M - lijnstukken'!$A4</f>
        <v>65</v>
      </c>
      <c r="D4" s="50">
        <f>'Lengte M norm'!D6-'Lengte M norm'!D5</f>
        <v>7</v>
      </c>
      <c r="E4" s="51">
        <f>'Lengte M norm'!D5-'Lengte M - lijnstukken'!D4*'Lengte M - lijnstukken'!$A4</f>
        <v>67</v>
      </c>
      <c r="F4" s="50">
        <f>'Lengte M norm'!F6-'Lengte M norm'!F5</f>
        <v>7</v>
      </c>
      <c r="G4" s="51">
        <f>'Lengte M norm'!F5-'Lengte M - lijnstukken'!F4*'Lengte M - lijnstukken'!$A4</f>
        <v>69</v>
      </c>
      <c r="H4" s="50">
        <f>'Lengte M norm'!H6-'Lengte M norm'!H5</f>
        <v>8</v>
      </c>
      <c r="I4" s="51">
        <f>'Lengte M norm'!H5-'Lengte M - lijnstukken'!H4*'Lengte M - lijnstukken'!$A4</f>
        <v>69</v>
      </c>
      <c r="J4" s="50">
        <f>'Lengte M norm'!J6-'Lengte M norm'!J5</f>
        <v>8</v>
      </c>
      <c r="K4" s="51">
        <f>'Lengte M norm'!J5-'Lengte M - lijnstukken'!J4*'Lengte M - lijnstukken'!$A4</f>
        <v>73</v>
      </c>
      <c r="L4" s="50">
        <f>'Lengte M norm'!L6-'Lengte M norm'!L5</f>
        <v>9</v>
      </c>
      <c r="M4" s="51">
        <f>'Lengte M norm'!L5-'Lengte M - lijnstukken'!L4*'Lengte M - lijnstukken'!$A4</f>
        <v>73</v>
      </c>
      <c r="N4" s="50">
        <f>'Lengte M norm'!N6-'Lengte M norm'!N5</f>
        <v>10</v>
      </c>
      <c r="O4" s="51">
        <f>'Lengte M norm'!N5-'Lengte M - lijnstukken'!N4*'Lengte M - lijnstukken'!$A4</f>
        <v>74</v>
      </c>
      <c r="P4" s="50">
        <f>'Lengte M norm'!P6-'Lengte M norm'!P5</f>
        <v>10</v>
      </c>
      <c r="Q4" s="52">
        <f>'Lengte M norm'!P5-'Lengte M - lijnstukken'!P4*'Lengte M - lijnstukken'!$A4</f>
        <v>76</v>
      </c>
    </row>
    <row r="5" spans="1:17" x14ac:dyDescent="0.25">
      <c r="A5" s="42">
        <v>4</v>
      </c>
      <c r="B5" s="48">
        <f>'Lengte M norm'!B7-'Lengte M norm'!B6</f>
        <v>5.5</v>
      </c>
      <c r="C5" s="49">
        <f>'Lengte M norm'!B6-'Lengte M - lijnstukken'!B5*'Lengte M - lijnstukken'!$A5</f>
        <v>71</v>
      </c>
      <c r="D5" s="50">
        <f>'Lengte M norm'!D7-'Lengte M norm'!D6</f>
        <v>7</v>
      </c>
      <c r="E5" s="51">
        <f>'Lengte M norm'!D6-'Lengte M - lijnstukken'!D5*'Lengte M - lijnstukken'!$A5</f>
        <v>67</v>
      </c>
      <c r="F5" s="50">
        <f>'Lengte M norm'!F7-'Lengte M norm'!F6</f>
        <v>7</v>
      </c>
      <c r="G5" s="51">
        <f>'Lengte M norm'!F6-'Lengte M - lijnstukken'!F5*'Lengte M - lijnstukken'!$A5</f>
        <v>69</v>
      </c>
      <c r="H5" s="50">
        <f>'Lengte M norm'!H7-'Lengte M norm'!H6</f>
        <v>7.5</v>
      </c>
      <c r="I5" s="51">
        <f>'Lengte M norm'!H6-'Lengte M - lijnstukken'!H5*'Lengte M - lijnstukken'!$A5</f>
        <v>71</v>
      </c>
      <c r="J5" s="50">
        <f>'Lengte M norm'!J7-'Lengte M norm'!J6</f>
        <v>7.5</v>
      </c>
      <c r="K5" s="51">
        <f>'Lengte M norm'!J6-'Lengte M - lijnstukken'!J5*'Lengte M - lijnstukken'!$A5</f>
        <v>75</v>
      </c>
      <c r="L5" s="50">
        <f>'Lengte M norm'!L7-'Lengte M norm'!L6</f>
        <v>8</v>
      </c>
      <c r="M5" s="51">
        <f>'Lengte M norm'!L6-'Lengte M - lijnstukken'!L5*'Lengte M - lijnstukken'!$A5</f>
        <v>77</v>
      </c>
      <c r="N5" s="50">
        <f>'Lengte M norm'!N7-'Lengte M norm'!N6</f>
        <v>7.5</v>
      </c>
      <c r="O5" s="51">
        <f>'Lengte M norm'!N6-'Lengte M - lijnstukken'!N5*'Lengte M - lijnstukken'!$A5</f>
        <v>84</v>
      </c>
      <c r="P5" s="50">
        <f>'Lengte M norm'!P7-'Lengte M norm'!P6</f>
        <v>8</v>
      </c>
      <c r="Q5" s="52">
        <f>'Lengte M norm'!P6-'Lengte M - lijnstukken'!P5*'Lengte M - lijnstukken'!$A5</f>
        <v>84</v>
      </c>
    </row>
    <row r="6" spans="1:17" x14ac:dyDescent="0.25">
      <c r="A6" s="42">
        <v>5</v>
      </c>
      <c r="B6" s="48">
        <f>'Lengte M norm'!B8-'Lengte M norm'!B7</f>
        <v>5.5</v>
      </c>
      <c r="C6" s="49">
        <f>'Lengte M norm'!B7-'Lengte M - lijnstukken'!B6*'Lengte M - lijnstukken'!$A6</f>
        <v>71</v>
      </c>
      <c r="D6" s="50">
        <f>'Lengte M norm'!D8-'Lengte M norm'!D7</f>
        <v>5</v>
      </c>
      <c r="E6" s="51">
        <f>'Lengte M norm'!D7-'Lengte M - lijnstukken'!D6*'Lengte M - lijnstukken'!$A6</f>
        <v>77</v>
      </c>
      <c r="F6" s="50">
        <f>'Lengte M norm'!F8-'Lengte M norm'!F7</f>
        <v>5.5</v>
      </c>
      <c r="G6" s="51">
        <f>'Lengte M norm'!F7-'Lengte M - lijnstukken'!F6*'Lengte M - lijnstukken'!$A6</f>
        <v>76.5</v>
      </c>
      <c r="H6" s="50">
        <f>'Lengte M norm'!H8-'Lengte M norm'!H7</f>
        <v>6</v>
      </c>
      <c r="I6" s="51">
        <f>'Lengte M norm'!H7-'Lengte M - lijnstukken'!H6*'Lengte M - lijnstukken'!$A6</f>
        <v>78.5</v>
      </c>
      <c r="J6" s="50">
        <f>'Lengte M norm'!J8-'Lengte M norm'!J7</f>
        <v>6.5</v>
      </c>
      <c r="K6" s="51">
        <f>'Lengte M norm'!J7-'Lengte M - lijnstukken'!J6*'Lengte M - lijnstukken'!$A6</f>
        <v>80</v>
      </c>
      <c r="L6" s="50">
        <f>'Lengte M norm'!L8-'Lengte M norm'!L7</f>
        <v>8</v>
      </c>
      <c r="M6" s="51">
        <f>'Lengte M norm'!L7-'Lengte M - lijnstukken'!L6*'Lengte M - lijnstukken'!$A6</f>
        <v>77</v>
      </c>
      <c r="N6" s="50">
        <f>'Lengte M norm'!N8-'Lengte M norm'!N7</f>
        <v>8.5</v>
      </c>
      <c r="O6" s="51">
        <f>'Lengte M norm'!N7-'Lengte M - lijnstukken'!N6*'Lengte M - lijnstukken'!$A6</f>
        <v>79</v>
      </c>
      <c r="P6" s="50">
        <f>'Lengte M norm'!P8-'Lengte M norm'!P7</f>
        <v>9</v>
      </c>
      <c r="Q6" s="52">
        <f>'Lengte M norm'!P7-'Lengte M - lijnstukken'!P6*'Lengte M - lijnstukken'!$A6</f>
        <v>79</v>
      </c>
    </row>
    <row r="7" spans="1:17" x14ac:dyDescent="0.25">
      <c r="A7" s="42">
        <v>6</v>
      </c>
      <c r="B7" s="48">
        <f>'Lengte M norm'!B9-'Lengte M norm'!B8</f>
        <v>6</v>
      </c>
      <c r="C7" s="49">
        <f>'Lengte M norm'!B8-'Lengte M - lijnstukken'!B7*'Lengte M - lijnstukken'!$A7</f>
        <v>68</v>
      </c>
      <c r="D7" s="50">
        <f>'Lengte M norm'!D9-'Lengte M norm'!D8</f>
        <v>5.5</v>
      </c>
      <c r="E7" s="51">
        <f>'Lengte M norm'!D8-'Lengte M - lijnstukken'!D7*'Lengte M - lijnstukken'!$A7</f>
        <v>74</v>
      </c>
      <c r="F7" s="50">
        <f>'Lengte M norm'!F9-'Lengte M norm'!F8</f>
        <v>5.5</v>
      </c>
      <c r="G7" s="51">
        <f>'Lengte M norm'!F8-'Lengte M - lijnstukken'!F7*'Lengte M - lijnstukken'!$A7</f>
        <v>76.5</v>
      </c>
      <c r="H7" s="50">
        <f>'Lengte M norm'!H9-'Lengte M norm'!H8</f>
        <v>6.5</v>
      </c>
      <c r="I7" s="51">
        <f>'Lengte M norm'!H8-'Lengte M - lijnstukken'!H7*'Lengte M - lijnstukken'!$A7</f>
        <v>75.5</v>
      </c>
      <c r="J7" s="50">
        <f>'Lengte M norm'!J9-'Lengte M norm'!J8</f>
        <v>7</v>
      </c>
      <c r="K7" s="51">
        <f>'Lengte M norm'!J8-'Lengte M - lijnstukken'!J7*'Lengte M - lijnstukken'!$A7</f>
        <v>77</v>
      </c>
      <c r="L7" s="50">
        <f>'Lengte M norm'!L9-'Lengte M norm'!L8</f>
        <v>6</v>
      </c>
      <c r="M7" s="51">
        <f>'Lengte M norm'!L8-'Lengte M - lijnstukken'!L7*'Lengte M - lijnstukken'!$A7</f>
        <v>89</v>
      </c>
      <c r="N7" s="50">
        <f>'Lengte M norm'!N9-'Lengte M norm'!N8</f>
        <v>7</v>
      </c>
      <c r="O7" s="51">
        <f>'Lengte M norm'!N8-'Lengte M - lijnstukken'!N7*'Lengte M - lijnstukken'!$A7</f>
        <v>88</v>
      </c>
      <c r="P7" s="50">
        <f>'Lengte M norm'!P9-'Lengte M norm'!P8</f>
        <v>7</v>
      </c>
      <c r="Q7" s="52">
        <f>'Lengte M norm'!P8-'Lengte M - lijnstukken'!P7*'Lengte M - lijnstukken'!$A7</f>
        <v>91</v>
      </c>
    </row>
    <row r="8" spans="1:17" x14ac:dyDescent="0.25">
      <c r="A8" s="42">
        <v>7</v>
      </c>
      <c r="B8" s="48">
        <f>'Lengte M norm'!B10-'Lengte M norm'!B9</f>
        <v>4.5</v>
      </c>
      <c r="C8" s="49">
        <f>'Lengte M norm'!B9-'Lengte M - lijnstukken'!B8*'Lengte M - lijnstukken'!$A8</f>
        <v>78.5</v>
      </c>
      <c r="D8" s="50">
        <f>'Lengte M norm'!D10-'Lengte M norm'!D9</f>
        <v>5.5</v>
      </c>
      <c r="E8" s="51">
        <f>'Lengte M norm'!D9-'Lengte M - lijnstukken'!D8*'Lengte M - lijnstukken'!$A8</f>
        <v>74</v>
      </c>
      <c r="F8" s="50">
        <f>'Lengte M norm'!F10-'Lengte M norm'!F9</f>
        <v>6</v>
      </c>
      <c r="G8" s="51">
        <f>'Lengte M norm'!F9-'Lengte M - lijnstukken'!F8*'Lengte M - lijnstukken'!$A8</f>
        <v>73</v>
      </c>
      <c r="H8" s="50">
        <f>'Lengte M norm'!H10-'Lengte M norm'!H9</f>
        <v>5</v>
      </c>
      <c r="I8" s="51">
        <f>'Lengte M norm'!H9-'Lengte M - lijnstukken'!H8*'Lengte M - lijnstukken'!$A8</f>
        <v>86</v>
      </c>
      <c r="J8" s="50">
        <f>'Lengte M norm'!J10-'Lengte M norm'!J9</f>
        <v>6</v>
      </c>
      <c r="K8" s="51">
        <f>'Lengte M norm'!J9-'Lengte M - lijnstukken'!J8*'Lengte M - lijnstukken'!$A8</f>
        <v>84</v>
      </c>
      <c r="L8" s="50">
        <f>'Lengte M norm'!L10-'Lengte M norm'!L9</f>
        <v>7</v>
      </c>
      <c r="M8" s="51">
        <f>'Lengte M norm'!L9-'Lengte M - lijnstukken'!L8*'Lengte M - lijnstukken'!$A8</f>
        <v>82</v>
      </c>
      <c r="N8" s="50">
        <f>'Lengte M norm'!N10-'Lengte M norm'!N9</f>
        <v>7</v>
      </c>
      <c r="O8" s="51">
        <f>'Lengte M norm'!N9-'Lengte M - lijnstukken'!N8*'Lengte M - lijnstukken'!$A8</f>
        <v>88</v>
      </c>
      <c r="P8" s="50">
        <f>'Lengte M norm'!P10-'Lengte M norm'!P9</f>
        <v>7</v>
      </c>
      <c r="Q8" s="52">
        <f>'Lengte M norm'!P9-'Lengte M - lijnstukken'!P8*'Lengte M - lijnstukken'!$A8</f>
        <v>91</v>
      </c>
    </row>
    <row r="9" spans="1:17" x14ac:dyDescent="0.25">
      <c r="A9" s="42">
        <v>8</v>
      </c>
      <c r="B9" s="48">
        <f>'Lengte M norm'!B11-'Lengte M norm'!B10</f>
        <v>5.5</v>
      </c>
      <c r="C9" s="49">
        <f>'Lengte M norm'!B10-'Lengte M - lijnstukken'!B9*'Lengte M - lijnstukken'!$A9</f>
        <v>70.5</v>
      </c>
      <c r="D9" s="50">
        <f>'Lengte M norm'!D11-'Lengte M norm'!D10</f>
        <v>5</v>
      </c>
      <c r="E9" s="51">
        <f>'Lengte M norm'!D10-'Lengte M - lijnstukken'!D9*'Lengte M - lijnstukken'!$A9</f>
        <v>78</v>
      </c>
      <c r="F9" s="50">
        <f>'Lengte M norm'!F11-'Lengte M norm'!F10</f>
        <v>5</v>
      </c>
      <c r="G9" s="51">
        <f>'Lengte M norm'!F10-'Lengte M - lijnstukken'!F9*'Lengte M - lijnstukken'!$A9</f>
        <v>81</v>
      </c>
      <c r="H9" s="50">
        <f>'Lengte M norm'!H11-'Lengte M norm'!H10</f>
        <v>6</v>
      </c>
      <c r="I9" s="51">
        <f>'Lengte M norm'!H10-'Lengte M - lijnstukken'!H9*'Lengte M - lijnstukken'!$A9</f>
        <v>78</v>
      </c>
      <c r="J9" s="50">
        <f>'Lengte M norm'!J11-'Lengte M norm'!J10</f>
        <v>6</v>
      </c>
      <c r="K9" s="51">
        <f>'Lengte M norm'!J10-'Lengte M - lijnstukken'!J9*'Lengte M - lijnstukken'!$A9</f>
        <v>84</v>
      </c>
      <c r="L9" s="50">
        <f>'Lengte M norm'!L11-'Lengte M norm'!L10</f>
        <v>6</v>
      </c>
      <c r="M9" s="51">
        <f>'Lengte M norm'!L10-'Lengte M - lijnstukken'!L9*'Lengte M - lijnstukken'!$A9</f>
        <v>90</v>
      </c>
      <c r="N9" s="50">
        <f>'Lengte M norm'!N11-'Lengte M norm'!N10</f>
        <v>7</v>
      </c>
      <c r="O9" s="51">
        <f>'Lengte M norm'!N10-'Lengte M - lijnstukken'!N9*'Lengte M - lijnstukken'!$A9</f>
        <v>88</v>
      </c>
      <c r="P9" s="50">
        <f>'Lengte M norm'!P11-'Lengte M norm'!P10</f>
        <v>6.5</v>
      </c>
      <c r="Q9" s="52">
        <f>'Lengte M norm'!P10-'Lengte M - lijnstukken'!P9*'Lengte M - lijnstukken'!$A9</f>
        <v>95</v>
      </c>
    </row>
    <row r="10" spans="1:17" x14ac:dyDescent="0.25">
      <c r="A10" s="42">
        <v>9</v>
      </c>
      <c r="B10" s="48">
        <f>'Lengte M norm'!B12-'Lengte M norm'!B11</f>
        <v>4</v>
      </c>
      <c r="C10" s="49">
        <f>'Lengte M norm'!B11-'Lengte M - lijnstukken'!B10*'Lengte M - lijnstukken'!$A10</f>
        <v>84</v>
      </c>
      <c r="D10" s="50">
        <f>'Lengte M norm'!D12-'Lengte M norm'!D11</f>
        <v>4</v>
      </c>
      <c r="E10" s="51">
        <f>'Lengte M norm'!D11-'Lengte M - lijnstukken'!D10*'Lengte M - lijnstukken'!$A10</f>
        <v>87</v>
      </c>
      <c r="F10" s="50">
        <f>'Lengte M norm'!F12-'Lengte M norm'!F11</f>
        <v>4.5</v>
      </c>
      <c r="G10" s="51">
        <f>'Lengte M norm'!F11-'Lengte M - lijnstukken'!F10*'Lengte M - lijnstukken'!$A10</f>
        <v>85.5</v>
      </c>
      <c r="H10" s="50">
        <f>'Lengte M norm'!H12-'Lengte M norm'!H11</f>
        <v>5</v>
      </c>
      <c r="I10" s="51">
        <f>'Lengte M norm'!H11-'Lengte M - lijnstukken'!H10*'Lengte M - lijnstukken'!$A10</f>
        <v>87</v>
      </c>
      <c r="J10" s="50">
        <f>'Lengte M norm'!J12-'Lengte M norm'!J11</f>
        <v>6</v>
      </c>
      <c r="K10" s="51">
        <f>'Lengte M norm'!J11-'Lengte M - lijnstukken'!J10*'Lengte M - lijnstukken'!$A10</f>
        <v>84</v>
      </c>
      <c r="L10" s="50">
        <f>'Lengte M norm'!L12-'Lengte M norm'!L11</f>
        <v>6.5</v>
      </c>
      <c r="M10" s="51">
        <f>'Lengte M norm'!L11-'Lengte M - lijnstukken'!L10*'Lengte M - lijnstukken'!$A10</f>
        <v>85.5</v>
      </c>
      <c r="N10" s="50">
        <f>'Lengte M norm'!N12-'Lengte M norm'!N11</f>
        <v>6</v>
      </c>
      <c r="O10" s="51">
        <f>'Lengte M norm'!N11-'Lengte M - lijnstukken'!N10*'Lengte M - lijnstukken'!$A10</f>
        <v>97</v>
      </c>
      <c r="P10" s="50">
        <f>'Lengte M norm'!P12-'Lengte M norm'!P11</f>
        <v>6.5</v>
      </c>
      <c r="Q10" s="52">
        <f>'Lengte M norm'!P11-'Lengte M - lijnstukken'!P10*'Lengte M - lijnstukken'!$A10</f>
        <v>95</v>
      </c>
    </row>
    <row r="11" spans="1:17" x14ac:dyDescent="0.25">
      <c r="A11" s="42">
        <v>10</v>
      </c>
      <c r="B11" s="48">
        <f>'Lengte M norm'!B13-'Lengte M norm'!B12</f>
        <v>4</v>
      </c>
      <c r="C11" s="49">
        <f>'Lengte M norm'!B12-'Lengte M - lijnstukken'!B11*'Lengte M - lijnstukken'!$A11</f>
        <v>84</v>
      </c>
      <c r="D11" s="50">
        <f>'Lengte M norm'!D13-'Lengte M norm'!D12</f>
        <v>5</v>
      </c>
      <c r="E11" s="51">
        <f>'Lengte M norm'!D12-'Lengte M - lijnstukken'!D11*'Lengte M - lijnstukken'!$A11</f>
        <v>77</v>
      </c>
      <c r="F11" s="50">
        <f>'Lengte M norm'!F13-'Lengte M norm'!F12</f>
        <v>4</v>
      </c>
      <c r="G11" s="51">
        <f>'Lengte M norm'!F12-'Lengte M - lijnstukken'!F11*'Lengte M - lijnstukken'!$A11</f>
        <v>90.5</v>
      </c>
      <c r="H11" s="50">
        <f>'Lengte M norm'!H13-'Lengte M norm'!H12</f>
        <v>5</v>
      </c>
      <c r="I11" s="51">
        <f>'Lengte M norm'!H12-'Lengte M - lijnstukken'!H11*'Lengte M - lijnstukken'!$A11</f>
        <v>87</v>
      </c>
      <c r="J11" s="50">
        <f>'Lengte M norm'!J13-'Lengte M norm'!J12</f>
        <v>5</v>
      </c>
      <c r="K11" s="51">
        <f>'Lengte M norm'!J12-'Lengte M - lijnstukken'!J11*'Lengte M - lijnstukken'!$A11</f>
        <v>94</v>
      </c>
      <c r="L11" s="50">
        <f>'Lengte M norm'!L13-'Lengte M norm'!L12</f>
        <v>5.5</v>
      </c>
      <c r="M11" s="51">
        <f>'Lengte M norm'!L12-'Lengte M - lijnstukken'!L11*'Lengte M - lijnstukken'!$A11</f>
        <v>95.5</v>
      </c>
      <c r="N11" s="50">
        <f>'Lengte M norm'!N13-'Lengte M norm'!N12</f>
        <v>6</v>
      </c>
      <c r="O11" s="51">
        <f>'Lengte M norm'!N12-'Lengte M - lijnstukken'!N11*'Lengte M - lijnstukken'!$A11</f>
        <v>97</v>
      </c>
      <c r="P11" s="50">
        <f>'Lengte M norm'!P13-'Lengte M norm'!P12</f>
        <v>6.5</v>
      </c>
      <c r="Q11" s="52">
        <f>'Lengte M norm'!P12-'Lengte M - lijnstukken'!P11*'Lengte M - lijnstukken'!$A11</f>
        <v>95</v>
      </c>
    </row>
    <row r="12" spans="1:17" x14ac:dyDescent="0.25">
      <c r="A12" s="42">
        <v>11</v>
      </c>
      <c r="B12" s="48">
        <f>'Lengte M norm'!B14-'Lengte M norm'!B13</f>
        <v>4</v>
      </c>
      <c r="C12" s="49">
        <f>'Lengte M norm'!B13-'Lengte M - lijnstukken'!B12*'Lengte M - lijnstukken'!$A12</f>
        <v>84</v>
      </c>
      <c r="D12" s="50">
        <f>'Lengte M norm'!D14-'Lengte M norm'!D13</f>
        <v>4</v>
      </c>
      <c r="E12" s="51">
        <f>'Lengte M norm'!D13-'Lengte M - lijnstukken'!D12*'Lengte M - lijnstukken'!$A12</f>
        <v>88</v>
      </c>
      <c r="F12" s="50">
        <f>'Lengte M norm'!F14-'Lengte M norm'!F13</f>
        <v>5.5</v>
      </c>
      <c r="G12" s="51">
        <f>'Lengte M norm'!F13-'Lengte M - lijnstukken'!F12*'Lengte M - lijnstukken'!$A12</f>
        <v>74</v>
      </c>
      <c r="H12" s="50">
        <f>'Lengte M norm'!H14-'Lengte M norm'!H13</f>
        <v>6</v>
      </c>
      <c r="I12" s="51">
        <f>'Lengte M norm'!H13-'Lengte M - lijnstukken'!H12*'Lengte M - lijnstukken'!$A12</f>
        <v>76</v>
      </c>
      <c r="J12" s="50">
        <f>'Lengte M norm'!J14-'Lengte M norm'!J13</f>
        <v>6</v>
      </c>
      <c r="K12" s="51">
        <f>'Lengte M norm'!J13-'Lengte M - lijnstukken'!J12*'Lengte M - lijnstukken'!$A12</f>
        <v>83</v>
      </c>
      <c r="L12" s="50">
        <f>'Lengte M norm'!L14-'Lengte M norm'!L13</f>
        <v>7</v>
      </c>
      <c r="M12" s="51">
        <f>'Lengte M norm'!L13-'Lengte M - lijnstukken'!L12*'Lengte M - lijnstukken'!$A12</f>
        <v>79</v>
      </c>
      <c r="N12" s="50">
        <f>'Lengte M norm'!N14-'Lengte M norm'!N13</f>
        <v>7.5</v>
      </c>
      <c r="O12" s="51">
        <f>'Lengte M norm'!N13-'Lengte M - lijnstukken'!N12*'Lengte M - lijnstukken'!$A12</f>
        <v>80.5</v>
      </c>
      <c r="P12" s="50">
        <f>'Lengte M norm'!P14-'Lengte M norm'!P13</f>
        <v>8</v>
      </c>
      <c r="Q12" s="52">
        <f>'Lengte M norm'!P13-'Lengte M - lijnstukken'!P12*'Lengte M - lijnstukken'!$A12</f>
        <v>78.5</v>
      </c>
    </row>
    <row r="13" spans="1:17" x14ac:dyDescent="0.25">
      <c r="A13" s="42">
        <v>12</v>
      </c>
      <c r="B13" s="48">
        <f>'Lengte M norm'!B15-'Lengte M norm'!B14</f>
        <v>5</v>
      </c>
      <c r="C13" s="49">
        <f>'Lengte M norm'!B14-'Lengte M - lijnstukken'!B13*'Lengte M - lijnstukken'!$A13</f>
        <v>72</v>
      </c>
      <c r="D13" s="50">
        <f>'Lengte M norm'!D15-'Lengte M norm'!D14</f>
        <v>5</v>
      </c>
      <c r="E13" s="51">
        <f>'Lengte M norm'!D14-'Lengte M - lijnstukken'!D13*'Lengte M - lijnstukken'!$A13</f>
        <v>76</v>
      </c>
      <c r="F13" s="50">
        <f>'Lengte M norm'!F15-'Lengte M norm'!F14</f>
        <v>5</v>
      </c>
      <c r="G13" s="51">
        <f>'Lengte M norm'!F14-'Lengte M - lijnstukken'!F13*'Lengte M - lijnstukken'!$A13</f>
        <v>80</v>
      </c>
      <c r="H13" s="50">
        <f>'Lengte M norm'!H15-'Lengte M norm'!H14</f>
        <v>6</v>
      </c>
      <c r="I13" s="51">
        <f>'Lengte M norm'!H14-'Lengte M - lijnstukken'!H13*'Lengte M - lijnstukken'!$A13</f>
        <v>76</v>
      </c>
      <c r="J13" s="50">
        <f>'Lengte M norm'!J15-'Lengte M norm'!J14</f>
        <v>6.5</v>
      </c>
      <c r="K13" s="51">
        <f>'Lengte M norm'!J14-'Lengte M - lijnstukken'!J13*'Lengte M - lijnstukken'!$A13</f>
        <v>77</v>
      </c>
      <c r="L13" s="50">
        <f>'Lengte M norm'!L15-'Lengte M norm'!L14</f>
        <v>7</v>
      </c>
      <c r="M13" s="51">
        <f>'Lengte M norm'!L14-'Lengte M - lijnstukken'!L13*'Lengte M - lijnstukken'!$A13</f>
        <v>79</v>
      </c>
      <c r="N13" s="50">
        <f>'Lengte M norm'!N15-'Lengte M norm'!N14</f>
        <v>7.5</v>
      </c>
      <c r="O13" s="51">
        <f>'Lengte M norm'!N14-'Lengte M - lijnstukken'!N13*'Lengte M - lijnstukken'!$A13</f>
        <v>80.5</v>
      </c>
      <c r="P13" s="50">
        <f>'Lengte M norm'!P15-'Lengte M norm'!P14</f>
        <v>8</v>
      </c>
      <c r="Q13" s="52">
        <f>'Lengte M norm'!P14-'Lengte M - lijnstukken'!P13*'Lengte M - lijnstukken'!$A13</f>
        <v>78.5</v>
      </c>
    </row>
    <row r="14" spans="1:17" x14ac:dyDescent="0.25">
      <c r="A14" s="42">
        <v>13</v>
      </c>
      <c r="B14" s="48">
        <f>'Lengte M norm'!B16-'Lengte M norm'!B15</f>
        <v>6.5</v>
      </c>
      <c r="C14" s="49">
        <f>'Lengte M norm'!B15-'Lengte M - lijnstukken'!B14*'Lengte M - lijnstukken'!$A14</f>
        <v>52.5</v>
      </c>
      <c r="D14" s="50">
        <f>'Lengte M norm'!D16-'Lengte M norm'!D15</f>
        <v>7</v>
      </c>
      <c r="E14" s="51">
        <f>'Lengte M norm'!D15-'Lengte M - lijnstukken'!D14*'Lengte M - lijnstukken'!$A14</f>
        <v>50</v>
      </c>
      <c r="F14" s="50">
        <f>'Lengte M norm'!F16-'Lengte M norm'!F15</f>
        <v>7</v>
      </c>
      <c r="G14" s="51">
        <f>'Lengte M norm'!F15-'Lengte M - lijnstukken'!F14*'Lengte M - lijnstukken'!$A14</f>
        <v>54</v>
      </c>
      <c r="H14" s="50">
        <f>'Lengte M norm'!H16-'Lengte M norm'!H15</f>
        <v>6.5</v>
      </c>
      <c r="I14" s="51">
        <f>'Lengte M norm'!H15-'Lengte M - lijnstukken'!H14*'Lengte M - lijnstukken'!$A14</f>
        <v>69.5</v>
      </c>
      <c r="J14" s="50">
        <f>'Lengte M norm'!J16-'Lengte M norm'!J15</f>
        <v>7</v>
      </c>
      <c r="K14" s="51">
        <f>'Lengte M norm'!J15-'Lengte M - lijnstukken'!J14*'Lengte M - lijnstukken'!$A14</f>
        <v>70.5</v>
      </c>
      <c r="L14" s="50">
        <f>'Lengte M norm'!L16-'Lengte M norm'!L15</f>
        <v>7</v>
      </c>
      <c r="M14" s="51">
        <f>'Lengte M norm'!L15-'Lengte M - lijnstukken'!L14*'Lengte M - lijnstukken'!$A14</f>
        <v>79</v>
      </c>
      <c r="N14" s="50">
        <f>'Lengte M norm'!N16-'Lengte M norm'!N15</f>
        <v>7</v>
      </c>
      <c r="O14" s="51">
        <f>'Lengte M norm'!N15-'Lengte M - lijnstukken'!N14*'Lengte M - lijnstukken'!$A14</f>
        <v>87</v>
      </c>
      <c r="P14" s="50">
        <f>'Lengte M norm'!P16-'Lengte M norm'!P15</f>
        <v>7</v>
      </c>
      <c r="Q14" s="52">
        <f>'Lengte M norm'!P15-'Lengte M - lijnstukken'!P14*'Lengte M - lijnstukken'!$A14</f>
        <v>91.5</v>
      </c>
    </row>
    <row r="15" spans="1:17" x14ac:dyDescent="0.25">
      <c r="A15" s="42">
        <v>14</v>
      </c>
      <c r="B15" s="48">
        <f>'Lengte M norm'!B17-'Lengte M norm'!B16</f>
        <v>7.5</v>
      </c>
      <c r="C15" s="49">
        <f>'Lengte M norm'!B16-'Lengte M - lijnstukken'!B15*'Lengte M - lijnstukken'!$A15</f>
        <v>38.5</v>
      </c>
      <c r="D15" s="50">
        <f>'Lengte M norm'!D17-'Lengte M norm'!D16</f>
        <v>6.5</v>
      </c>
      <c r="E15" s="51">
        <f>'Lengte M norm'!D16-'Lengte M - lijnstukken'!D15*'Lengte M - lijnstukken'!$A15</f>
        <v>57</v>
      </c>
      <c r="F15" s="50">
        <f>'Lengte M norm'!F17-'Lengte M norm'!F16</f>
        <v>7</v>
      </c>
      <c r="G15" s="51">
        <f>'Lengte M norm'!F16-'Lengte M - lijnstukken'!F15*'Lengte M - lijnstukken'!$A15</f>
        <v>54</v>
      </c>
      <c r="H15" s="50">
        <f>'Lengte M norm'!H17-'Lengte M norm'!H16</f>
        <v>6.5</v>
      </c>
      <c r="I15" s="51">
        <f>'Lengte M norm'!H16-'Lengte M - lijnstukken'!H15*'Lengte M - lijnstukken'!$A15</f>
        <v>69.5</v>
      </c>
      <c r="J15" s="50">
        <f>'Lengte M norm'!J17-'Lengte M norm'!J16</f>
        <v>6.5</v>
      </c>
      <c r="K15" s="51">
        <f>'Lengte M norm'!J16-'Lengte M - lijnstukken'!J15*'Lengte M - lijnstukken'!$A15</f>
        <v>77.5</v>
      </c>
      <c r="L15" s="50">
        <f>'Lengte M norm'!L17-'Lengte M norm'!L16</f>
        <v>6</v>
      </c>
      <c r="M15" s="51">
        <f>'Lengte M norm'!L16-'Lengte M - lijnstukken'!L15*'Lengte M - lijnstukken'!$A15</f>
        <v>93</v>
      </c>
      <c r="N15" s="50">
        <f>'Lengte M norm'!N17-'Lengte M norm'!N16</f>
        <v>6</v>
      </c>
      <c r="O15" s="51">
        <f>'Lengte M norm'!N16-'Lengte M - lijnstukken'!N15*'Lengte M - lijnstukken'!$A15</f>
        <v>101</v>
      </c>
      <c r="P15" s="50">
        <f>'Lengte M norm'!P17-'Lengte M norm'!P16</f>
        <v>5.5</v>
      </c>
      <c r="Q15" s="52">
        <f>'Lengte M norm'!P16-'Lengte M - lijnstukken'!P15*'Lengte M - lijnstukken'!$A15</f>
        <v>112.5</v>
      </c>
    </row>
    <row r="16" spans="1:17" x14ac:dyDescent="0.25">
      <c r="A16" s="42">
        <v>15</v>
      </c>
      <c r="B16" s="48">
        <f>'Lengte M norm'!B18-'Lengte M norm'!B17</f>
        <v>5</v>
      </c>
      <c r="C16" s="49">
        <f>'Lengte M norm'!B17-'Lengte M - lijnstukken'!B16*'Lengte M - lijnstukken'!$A16</f>
        <v>76</v>
      </c>
      <c r="D16" s="50">
        <f>'Lengte M norm'!D18-'Lengte M norm'!D17</f>
        <v>5.5</v>
      </c>
      <c r="E16" s="51">
        <f>'Lengte M norm'!D17-'Lengte M - lijnstukken'!D16*'Lengte M - lijnstukken'!$A16</f>
        <v>72</v>
      </c>
      <c r="F16" s="50">
        <f>'Lengte M norm'!F18-'Lengte M norm'!F17</f>
        <v>5</v>
      </c>
      <c r="G16" s="51">
        <f>'Lengte M norm'!F17-'Lengte M - lijnstukken'!F16*'Lengte M - lijnstukken'!$A16</f>
        <v>84</v>
      </c>
      <c r="H16" s="50">
        <f>'Lengte M norm'!H18-'Lengte M norm'!H17</f>
        <v>4.5</v>
      </c>
      <c r="I16" s="51">
        <f>'Lengte M norm'!H17-'Lengte M - lijnstukken'!H16*'Lengte M - lijnstukken'!$A16</f>
        <v>99.5</v>
      </c>
      <c r="J16" s="50">
        <f>'Lengte M norm'!J18-'Lengte M norm'!J17</f>
        <v>3.5</v>
      </c>
      <c r="K16" s="51">
        <f>'Lengte M norm'!J17-'Lengte M - lijnstukken'!J16*'Lengte M - lijnstukken'!$A16</f>
        <v>122.5</v>
      </c>
      <c r="L16" s="50">
        <f>'Lengte M norm'!L18-'Lengte M norm'!L17</f>
        <v>3.5</v>
      </c>
      <c r="M16" s="51">
        <f>'Lengte M norm'!L17-'Lengte M - lijnstukken'!L16*'Lengte M - lijnstukken'!$A16</f>
        <v>130.5</v>
      </c>
      <c r="N16" s="50">
        <f>'Lengte M norm'!N18-'Lengte M norm'!N17</f>
        <v>3</v>
      </c>
      <c r="O16" s="51">
        <f>'Lengte M norm'!N17-'Lengte M - lijnstukken'!N16*'Lengte M - lijnstukken'!$A16</f>
        <v>146</v>
      </c>
      <c r="P16" s="50">
        <f>'Lengte M norm'!P18-'Lengte M norm'!P17</f>
        <v>3</v>
      </c>
      <c r="Q16" s="52">
        <f>'Lengte M norm'!P17-'Lengte M - lijnstukken'!P16*'Lengte M - lijnstukken'!$A16</f>
        <v>150</v>
      </c>
    </row>
    <row r="17" spans="1:17" x14ac:dyDescent="0.25">
      <c r="A17" s="42">
        <v>16</v>
      </c>
      <c r="B17" s="48">
        <f>'Lengte M norm'!B19-'Lengte M norm'!B18</f>
        <v>2</v>
      </c>
      <c r="C17" s="49">
        <f>'Lengte M norm'!B18-'Lengte M - lijnstukken'!B17*'Lengte M - lijnstukken'!$A17</f>
        <v>124</v>
      </c>
      <c r="D17" s="50">
        <f>'Lengte M norm'!D19-'Lengte M norm'!D18</f>
        <v>2.5</v>
      </c>
      <c r="E17" s="51">
        <f>'Lengte M norm'!D18-'Lengte M - lijnstukken'!D17*'Lengte M - lijnstukken'!$A17</f>
        <v>120</v>
      </c>
      <c r="F17" s="50">
        <f>'Lengte M norm'!F19-'Lengte M norm'!F18</f>
        <v>2</v>
      </c>
      <c r="G17" s="51">
        <f>'Lengte M norm'!F18-'Lengte M - lijnstukken'!F17*'Lengte M - lijnstukken'!$A17</f>
        <v>132</v>
      </c>
      <c r="H17" s="50">
        <f>'Lengte M norm'!H19-'Lengte M norm'!H18</f>
        <v>1.5</v>
      </c>
      <c r="I17" s="51">
        <f>'Lengte M norm'!H18-'Lengte M - lijnstukken'!H17*'Lengte M - lijnstukken'!$A17</f>
        <v>147.5</v>
      </c>
      <c r="J17" s="50">
        <f>'Lengte M norm'!J19-'Lengte M norm'!J18</f>
        <v>2.5</v>
      </c>
      <c r="K17" s="51">
        <f>'Lengte M norm'!J18-'Lengte M - lijnstukken'!J17*'Lengte M - lijnstukken'!$A17</f>
        <v>138.5</v>
      </c>
      <c r="L17" s="50">
        <f>'Lengte M norm'!L19-'Lengte M norm'!L18</f>
        <v>2</v>
      </c>
      <c r="M17" s="51">
        <f>'Lengte M norm'!L18-'Lengte M - lijnstukken'!L17*'Lengte M - lijnstukken'!$A17</f>
        <v>154.5</v>
      </c>
      <c r="N17" s="50">
        <f>'Lengte M norm'!N19-'Lengte M norm'!N18</f>
        <v>1.5</v>
      </c>
      <c r="O17" s="51">
        <f>'Lengte M norm'!N18-'Lengte M - lijnstukken'!N17*'Lengte M - lijnstukken'!$A17</f>
        <v>170</v>
      </c>
      <c r="P17" s="50">
        <f>'Lengte M norm'!P19-'Lengte M norm'!P18</f>
        <v>1</v>
      </c>
      <c r="Q17" s="52">
        <f>'Lengte M norm'!P18-'Lengte M - lijnstukken'!P17*'Lengte M - lijnstukken'!$A17</f>
        <v>182</v>
      </c>
    </row>
    <row r="18" spans="1:17" x14ac:dyDescent="0.25">
      <c r="A18" s="42">
        <v>17</v>
      </c>
      <c r="B18" s="48">
        <f>'Lengte M norm'!B20-'Lengte M norm'!B19</f>
        <v>2.5</v>
      </c>
      <c r="C18" s="49">
        <f>'Lengte M norm'!B19-'Lengte M - lijnstukken'!B18*'Lengte M - lijnstukken'!$A18</f>
        <v>115.5</v>
      </c>
      <c r="D18" s="50">
        <f>'Lengte M norm'!D20-'Lengte M norm'!D19</f>
        <v>2</v>
      </c>
      <c r="E18" s="51">
        <f>'Lengte M norm'!D19-'Lengte M - lijnstukken'!D18*'Lengte M - lijnstukken'!$A18</f>
        <v>128.5</v>
      </c>
      <c r="F18" s="50">
        <f>'Lengte M norm'!F20-'Lengte M norm'!F19</f>
        <v>2</v>
      </c>
      <c r="G18" s="51">
        <f>'Lengte M norm'!F19-'Lengte M - lijnstukken'!F18*'Lengte M - lijnstukken'!$A18</f>
        <v>132</v>
      </c>
      <c r="H18" s="50">
        <f>'Lengte M norm'!H20-'Lengte M norm'!H19</f>
        <v>2</v>
      </c>
      <c r="I18" s="51">
        <f>'Lengte M norm'!H19-'Lengte M - lijnstukken'!H18*'Lengte M - lijnstukken'!$A18</f>
        <v>139</v>
      </c>
      <c r="J18" s="50">
        <f>'Lengte M norm'!J20-'Lengte M norm'!J19</f>
        <v>1.5</v>
      </c>
      <c r="K18" s="51">
        <f>'Lengte M norm'!J19-'Lengte M - lijnstukken'!J18*'Lengte M - lijnstukken'!$A18</f>
        <v>155.5</v>
      </c>
      <c r="L18" s="50">
        <f>'Lengte M norm'!L20-'Lengte M norm'!L19</f>
        <v>1</v>
      </c>
      <c r="M18" s="51">
        <f>'Lengte M norm'!L19-'Lengte M - lijnstukken'!L18*'Lengte M - lijnstukken'!$A18</f>
        <v>171.5</v>
      </c>
      <c r="N18" s="50">
        <f>'Lengte M norm'!N20-'Lengte M norm'!N19</f>
        <v>1</v>
      </c>
      <c r="O18" s="51">
        <f>'Lengte M norm'!N19-'Lengte M - lijnstukken'!N18*'Lengte M - lijnstukken'!$A18</f>
        <v>178.5</v>
      </c>
      <c r="P18" s="50">
        <f>'Lengte M norm'!P20-'Lengte M norm'!P19</f>
        <v>1.5</v>
      </c>
      <c r="Q18" s="52">
        <f>'Lengte M norm'!P19-'Lengte M - lijnstukken'!P18*'Lengte M - lijnstukken'!$A18</f>
        <v>173.5</v>
      </c>
    </row>
    <row r="19" spans="1:17" x14ac:dyDescent="0.25">
      <c r="A19" s="42">
        <v>18</v>
      </c>
      <c r="B19" s="48">
        <f>'Lengte M norm'!B21-'Lengte M norm'!B20</f>
        <v>1.5</v>
      </c>
      <c r="C19" s="49">
        <f>'Lengte M norm'!B20-'Lengte M - lijnstukken'!B19*'Lengte M - lijnstukken'!$A19</f>
        <v>133.5</v>
      </c>
      <c r="D19" s="50">
        <f>'Lengte M norm'!D21-'Lengte M norm'!D20</f>
        <v>1.5</v>
      </c>
      <c r="E19" s="51">
        <f>'Lengte M norm'!D20-'Lengte M - lijnstukken'!D19*'Lengte M - lijnstukken'!$A19</f>
        <v>137.5</v>
      </c>
      <c r="F19" s="50">
        <f>'Lengte M norm'!F21-'Lengte M norm'!F20</f>
        <v>1</v>
      </c>
      <c r="G19" s="51">
        <f>'Lengte M norm'!F20-'Lengte M - lijnstukken'!F19*'Lengte M - lijnstukken'!$A19</f>
        <v>150</v>
      </c>
      <c r="H19" s="50">
        <f>'Lengte M norm'!H21-'Lengte M norm'!H20</f>
        <v>1.5</v>
      </c>
      <c r="I19" s="51">
        <f>'Lengte M norm'!H20-'Lengte M - lijnstukken'!H19*'Lengte M - lijnstukken'!$A19</f>
        <v>148</v>
      </c>
      <c r="J19" s="50">
        <f>'Lengte M norm'!J21-'Lengte M norm'!J20</f>
        <v>1.1999999999999886</v>
      </c>
      <c r="K19" s="51">
        <f>'Lengte M norm'!J20-'Lengte M - lijnstukken'!J19*'Lengte M - lijnstukken'!$A19</f>
        <v>160.9000000000002</v>
      </c>
      <c r="L19" s="50">
        <f>'Lengte M norm'!L21-'Lengte M norm'!L20</f>
        <v>1</v>
      </c>
      <c r="M19" s="51">
        <f>'Lengte M norm'!L20-'Lengte M - lijnstukken'!L19*'Lengte M - lijnstukken'!$A19</f>
        <v>171.5</v>
      </c>
      <c r="N19" s="50">
        <f>'Lengte M norm'!N21-'Lengte M norm'!N20</f>
        <v>1.5</v>
      </c>
      <c r="O19" s="51">
        <f>'Lengte M norm'!N20-'Lengte M - lijnstukken'!N19*'Lengte M - lijnstukken'!$A19</f>
        <v>169.5</v>
      </c>
      <c r="P19" s="50">
        <f>'Lengte M norm'!P21-'Lengte M norm'!P20</f>
        <v>1</v>
      </c>
      <c r="Q19" s="52">
        <f>'Lengte M norm'!P20-'Lengte M - lijnstukken'!P19*'Lengte M - lijnstukken'!$A19</f>
        <v>182.5</v>
      </c>
    </row>
    <row r="20" spans="1:17" x14ac:dyDescent="0.25">
      <c r="A20" s="42">
        <v>19</v>
      </c>
      <c r="B20" s="48">
        <f>'Lengte M norm'!B22-'Lengte M norm'!B21</f>
        <v>0.5</v>
      </c>
      <c r="C20" s="49">
        <f>'Lengte M norm'!B21-'Lengte M - lijnstukken'!B20*'Lengte M - lijnstukken'!$A20</f>
        <v>152.5</v>
      </c>
      <c r="D20" s="50">
        <f>'Lengte M norm'!D22-'Lengte M norm'!D21</f>
        <v>0</v>
      </c>
      <c r="E20" s="51">
        <f>'Lengte M norm'!D21-'Lengte M - lijnstukken'!D20*'Lengte M - lijnstukken'!$A20</f>
        <v>166</v>
      </c>
      <c r="F20" s="50">
        <f>'Lengte M norm'!F22-'Lengte M norm'!F21</f>
        <v>0.5</v>
      </c>
      <c r="G20" s="51">
        <f>'Lengte M norm'!F21-'Lengte M - lijnstukken'!F20*'Lengte M - lijnstukken'!$A20</f>
        <v>159.5</v>
      </c>
      <c r="H20" s="50">
        <f>'Lengte M norm'!H22-'Lengte M norm'!H21</f>
        <v>0</v>
      </c>
      <c r="I20" s="51">
        <f>'Lengte M norm'!H21-'Lengte M - lijnstukken'!H20*'Lengte M - lijnstukken'!$A20</f>
        <v>176.5</v>
      </c>
      <c r="J20" s="50">
        <f>'Lengte M norm'!J22-'Lengte M norm'!J21</f>
        <v>0.30000000000001137</v>
      </c>
      <c r="K20" s="51">
        <f>'Lengte M norm'!J21-'Lengte M - lijnstukken'!J20*'Lengte M - lijnstukken'!$A20</f>
        <v>177.99999999999977</v>
      </c>
      <c r="L20" s="50">
        <f>'Lengte M norm'!L22-'Lengte M norm'!L21</f>
        <v>0.5</v>
      </c>
      <c r="M20" s="51">
        <f>'Lengte M norm'!L21-'Lengte M - lijnstukken'!L20*'Lengte M - lijnstukken'!$A20</f>
        <v>181</v>
      </c>
      <c r="N20" s="50">
        <f>'Lengte M norm'!N22-'Lengte M norm'!N21</f>
        <v>0</v>
      </c>
      <c r="O20" s="51">
        <f>'Lengte M norm'!N21-'Lengte M - lijnstukken'!N20*'Lengte M - lijnstukken'!$A20</f>
        <v>198</v>
      </c>
      <c r="P20" s="50">
        <f>'Lengte M norm'!P22-'Lengte M norm'!P21</f>
        <v>0</v>
      </c>
      <c r="Q20" s="52">
        <f>'Lengte M norm'!P21-'Lengte M - lijnstukken'!P20*'Lengte M - lijnstukken'!$A20</f>
        <v>201.5</v>
      </c>
    </row>
    <row r="21" spans="1:17" ht="15.75" thickBot="1" x14ac:dyDescent="0.3">
      <c r="A21" s="53">
        <v>20</v>
      </c>
      <c r="B21" s="54">
        <f>'Lengte M norm'!B23-'Lengte M norm'!B22</f>
        <v>0</v>
      </c>
      <c r="C21" s="55">
        <f>'Lengte M norm'!B22-'Lengte M - lijnstukken'!B21*'Lengte M - lijnstukken'!$A21</f>
        <v>162.5</v>
      </c>
      <c r="D21" s="56">
        <f>'Lengte M norm'!D23-'Lengte M norm'!D22</f>
        <v>0</v>
      </c>
      <c r="E21" s="57">
        <f>'Lengte M norm'!D22-'Lengte M - lijnstukken'!D21*'Lengte M - lijnstukken'!$A21</f>
        <v>166</v>
      </c>
      <c r="F21" s="56">
        <f>'Lengte M norm'!F23-'Lengte M norm'!F22</f>
        <v>0</v>
      </c>
      <c r="G21" s="57">
        <f>'Lengte M norm'!F22-'Lengte M - lijnstukken'!F21*'Lengte M - lijnstukken'!$A21</f>
        <v>169.5</v>
      </c>
      <c r="H21" s="56">
        <f>'Lengte M norm'!H23-'Lengte M norm'!H22</f>
        <v>0</v>
      </c>
      <c r="I21" s="57">
        <f>'Lengte M norm'!H22-'Lengte M - lijnstukken'!H21*'Lengte M - lijnstukken'!$A21</f>
        <v>176.5</v>
      </c>
      <c r="J21" s="56">
        <f>'Lengte M norm'!J23-'Lengte M norm'!J22</f>
        <v>0</v>
      </c>
      <c r="K21" s="57">
        <f>'Lengte M norm'!J22-'Lengte M - lijnstukken'!J21*'Lengte M - lijnstukken'!$A21</f>
        <v>184</v>
      </c>
      <c r="L21" s="56">
        <f>'Lengte M norm'!L23-'Lengte M norm'!L22</f>
        <v>0</v>
      </c>
      <c r="M21" s="57">
        <f>'Lengte M norm'!L22-'Lengte M - lijnstukken'!L21*'Lengte M - lijnstukken'!$A21</f>
        <v>191</v>
      </c>
      <c r="N21" s="56">
        <f>'Lengte M norm'!N23-'Lengte M norm'!N22</f>
        <v>0</v>
      </c>
      <c r="O21" s="57">
        <f>'Lengte M norm'!N22-'Lengte M - lijnstukken'!N21*'Lengte M - lijnstukken'!$A21</f>
        <v>198</v>
      </c>
      <c r="P21" s="56">
        <f>'Lengte M norm'!P23-'Lengte M norm'!P22</f>
        <v>0</v>
      </c>
      <c r="Q21" s="58">
        <f>'Lengte M norm'!P22-'Lengte M - lijnstukken'!P21*'Lengte M - lijnstukken'!$A21</f>
        <v>201.5</v>
      </c>
    </row>
  </sheetData>
  <sheetProtection sheet="1" objects="1" scenarios="1"/>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S23"/>
  <sheetViews>
    <sheetView workbookViewId="0">
      <selection activeCell="K47" sqref="K47:K48"/>
    </sheetView>
  </sheetViews>
  <sheetFormatPr defaultRowHeight="15" x14ac:dyDescent="0.25"/>
  <cols>
    <col min="1" max="1" width="4.7109375" customWidth="1"/>
    <col min="2" max="2" width="8.7109375" customWidth="1"/>
    <col min="3" max="3" width="4.7109375" customWidth="1"/>
    <col min="4" max="4" width="8.7109375" customWidth="1"/>
    <col min="5" max="5" width="4.7109375" customWidth="1"/>
    <col min="6" max="6" width="8.7109375" customWidth="1"/>
    <col min="7" max="7" width="4.7109375" customWidth="1"/>
    <col min="8" max="8" width="8.7109375" customWidth="1"/>
    <col min="9" max="9" width="4.7109375" customWidth="1"/>
    <col min="10" max="10" width="8.7109375" customWidth="1"/>
    <col min="11" max="11" width="4.7109375" customWidth="1"/>
    <col min="12" max="12" width="8.7109375" customWidth="1"/>
    <col min="13" max="13" width="4.7109375" customWidth="1"/>
    <col min="14" max="14" width="8.7109375" customWidth="1"/>
    <col min="15" max="15" width="4.7109375" customWidth="1"/>
    <col min="16" max="16" width="8.7109375" customWidth="1"/>
    <col min="18" max="18" width="9.140625" customWidth="1"/>
    <col min="19" max="19" width="4.7109375" customWidth="1"/>
  </cols>
  <sheetData>
    <row r="1" spans="1:19" x14ac:dyDescent="0.25">
      <c r="A1" s="200" t="s">
        <v>48</v>
      </c>
      <c r="B1" s="201"/>
      <c r="C1" s="201"/>
      <c r="D1" s="201"/>
      <c r="E1" s="201"/>
      <c r="F1" s="201"/>
      <c r="G1" s="201"/>
      <c r="H1" s="201"/>
      <c r="I1" s="201"/>
      <c r="J1" s="201"/>
      <c r="K1" s="201"/>
      <c r="L1" s="201"/>
      <c r="M1" s="201"/>
      <c r="N1" s="201"/>
      <c r="O1" s="201"/>
      <c r="P1" s="202"/>
    </row>
    <row r="2" spans="1:19" x14ac:dyDescent="0.25">
      <c r="A2" s="60"/>
      <c r="B2" s="61">
        <v>-3</v>
      </c>
      <c r="C2" s="62"/>
      <c r="D2" s="61">
        <v>-2.5</v>
      </c>
      <c r="E2" s="62"/>
      <c r="F2" s="61">
        <v>-2</v>
      </c>
      <c r="G2" s="62"/>
      <c r="H2" s="61">
        <v>-1</v>
      </c>
      <c r="I2" s="62"/>
      <c r="J2" s="61">
        <v>0</v>
      </c>
      <c r="K2" s="62"/>
      <c r="L2" s="61">
        <v>1</v>
      </c>
      <c r="M2" s="62"/>
      <c r="N2" s="61">
        <v>2</v>
      </c>
      <c r="O2" s="62"/>
      <c r="P2" s="63">
        <v>2.5</v>
      </c>
      <c r="S2" s="64" t="s">
        <v>49</v>
      </c>
    </row>
    <row r="3" spans="1:19" x14ac:dyDescent="0.25">
      <c r="A3" s="34">
        <v>1</v>
      </c>
      <c r="B3" s="51">
        <v>68</v>
      </c>
      <c r="C3" s="65">
        <f>$A3</f>
        <v>1</v>
      </c>
      <c r="D3" s="51">
        <v>70</v>
      </c>
      <c r="E3" s="65">
        <f>$A3</f>
        <v>1</v>
      </c>
      <c r="F3" s="51">
        <v>71.5</v>
      </c>
      <c r="G3" s="65">
        <f>$A3</f>
        <v>1</v>
      </c>
      <c r="H3" s="51">
        <v>74</v>
      </c>
      <c r="I3" s="65">
        <f>$A3</f>
        <v>1</v>
      </c>
      <c r="J3" s="51">
        <v>77</v>
      </c>
      <c r="K3" s="65">
        <f>$A3</f>
        <v>1</v>
      </c>
      <c r="L3" s="51">
        <v>79.5</v>
      </c>
      <c r="M3" s="65">
        <f>$A3</f>
        <v>1</v>
      </c>
      <c r="N3" s="51">
        <v>82</v>
      </c>
      <c r="O3" s="65">
        <f>$A3</f>
        <v>1</v>
      </c>
      <c r="P3" s="52">
        <v>84.5</v>
      </c>
      <c r="R3" s="66">
        <v>2.5</v>
      </c>
      <c r="S3" s="1">
        <v>99.4</v>
      </c>
    </row>
    <row r="4" spans="1:19" x14ac:dyDescent="0.25">
      <c r="A4" s="34">
        <v>2</v>
      </c>
      <c r="B4" s="51">
        <v>77</v>
      </c>
      <c r="C4" s="65">
        <f t="shared" ref="C4:O23" si="0">$A4</f>
        <v>2</v>
      </c>
      <c r="D4" s="51">
        <v>80.5</v>
      </c>
      <c r="E4" s="65">
        <f t="shared" si="0"/>
        <v>2</v>
      </c>
      <c r="F4" s="51">
        <v>82</v>
      </c>
      <c r="G4" s="65">
        <f t="shared" si="0"/>
        <v>2</v>
      </c>
      <c r="H4" s="51">
        <v>85</v>
      </c>
      <c r="I4" s="65">
        <f t="shared" si="0"/>
        <v>2</v>
      </c>
      <c r="J4" s="51">
        <v>88</v>
      </c>
      <c r="K4" s="65">
        <f t="shared" si="0"/>
        <v>2</v>
      </c>
      <c r="L4" s="51">
        <v>91.5</v>
      </c>
      <c r="M4" s="65">
        <f t="shared" si="0"/>
        <v>2</v>
      </c>
      <c r="N4" s="51">
        <v>94.5</v>
      </c>
      <c r="O4" s="65">
        <f t="shared" si="0"/>
        <v>2</v>
      </c>
      <c r="P4" s="52">
        <v>96</v>
      </c>
      <c r="R4" s="67">
        <v>2</v>
      </c>
      <c r="S4" s="68">
        <v>98</v>
      </c>
    </row>
    <row r="5" spans="1:19" x14ac:dyDescent="0.25">
      <c r="A5" s="34">
        <v>3</v>
      </c>
      <c r="B5" s="51">
        <v>86</v>
      </c>
      <c r="C5" s="65">
        <f t="shared" si="0"/>
        <v>3</v>
      </c>
      <c r="D5" s="51">
        <v>88</v>
      </c>
      <c r="E5" s="65">
        <f t="shared" si="0"/>
        <v>3</v>
      </c>
      <c r="F5" s="51">
        <v>90</v>
      </c>
      <c r="G5" s="65">
        <f t="shared" si="0"/>
        <v>3</v>
      </c>
      <c r="H5" s="51">
        <v>93</v>
      </c>
      <c r="I5" s="65">
        <f t="shared" si="0"/>
        <v>3</v>
      </c>
      <c r="J5" s="51">
        <v>97</v>
      </c>
      <c r="K5" s="65">
        <f t="shared" si="0"/>
        <v>3</v>
      </c>
      <c r="L5" s="51">
        <v>100</v>
      </c>
      <c r="M5" s="65">
        <f t="shared" si="0"/>
        <v>3</v>
      </c>
      <c r="N5" s="51">
        <v>104</v>
      </c>
      <c r="O5" s="65">
        <f t="shared" si="0"/>
        <v>3</v>
      </c>
      <c r="P5" s="52">
        <v>106</v>
      </c>
      <c r="R5" s="67">
        <v>1</v>
      </c>
      <c r="S5" s="68">
        <v>84</v>
      </c>
    </row>
    <row r="6" spans="1:19" x14ac:dyDescent="0.25">
      <c r="A6" s="34">
        <v>4</v>
      </c>
      <c r="B6" s="51">
        <v>93</v>
      </c>
      <c r="C6" s="65">
        <f t="shared" si="0"/>
        <v>4</v>
      </c>
      <c r="D6" s="51">
        <v>95</v>
      </c>
      <c r="E6" s="65">
        <f t="shared" si="0"/>
        <v>4</v>
      </c>
      <c r="F6" s="51">
        <v>97</v>
      </c>
      <c r="G6" s="65">
        <f t="shared" si="0"/>
        <v>4</v>
      </c>
      <c r="H6" s="51">
        <v>101</v>
      </c>
      <c r="I6" s="65">
        <f t="shared" si="0"/>
        <v>4</v>
      </c>
      <c r="J6" s="51">
        <v>105</v>
      </c>
      <c r="K6" s="65">
        <f t="shared" si="0"/>
        <v>4</v>
      </c>
      <c r="L6" s="51">
        <v>109</v>
      </c>
      <c r="M6" s="65">
        <f t="shared" si="0"/>
        <v>4</v>
      </c>
      <c r="N6" s="51">
        <v>114</v>
      </c>
      <c r="O6" s="65">
        <f t="shared" si="0"/>
        <v>4</v>
      </c>
      <c r="P6" s="52">
        <v>116</v>
      </c>
      <c r="R6" s="67">
        <v>0</v>
      </c>
      <c r="S6" s="68">
        <v>50</v>
      </c>
    </row>
    <row r="7" spans="1:19" x14ac:dyDescent="0.25">
      <c r="A7" s="34">
        <v>5</v>
      </c>
      <c r="B7" s="51">
        <v>98.5</v>
      </c>
      <c r="C7" s="65">
        <f t="shared" si="0"/>
        <v>5</v>
      </c>
      <c r="D7" s="51">
        <v>102</v>
      </c>
      <c r="E7" s="65">
        <f t="shared" si="0"/>
        <v>5</v>
      </c>
      <c r="F7" s="51">
        <v>104</v>
      </c>
      <c r="G7" s="65">
        <f t="shared" si="0"/>
        <v>5</v>
      </c>
      <c r="H7" s="51">
        <v>108.5</v>
      </c>
      <c r="I7" s="65">
        <f t="shared" si="0"/>
        <v>5</v>
      </c>
      <c r="J7" s="51">
        <v>112.5</v>
      </c>
      <c r="K7" s="65">
        <f t="shared" si="0"/>
        <v>5</v>
      </c>
      <c r="L7" s="51">
        <v>117</v>
      </c>
      <c r="M7" s="65">
        <f t="shared" si="0"/>
        <v>5</v>
      </c>
      <c r="N7" s="51">
        <v>121.5</v>
      </c>
      <c r="O7" s="65">
        <f t="shared" si="0"/>
        <v>5</v>
      </c>
      <c r="P7" s="52">
        <v>124</v>
      </c>
      <c r="R7" s="67">
        <v>-1</v>
      </c>
      <c r="S7" s="68">
        <v>16</v>
      </c>
    </row>
    <row r="8" spans="1:19" x14ac:dyDescent="0.25">
      <c r="A8" s="34">
        <v>6</v>
      </c>
      <c r="B8" s="51">
        <v>104</v>
      </c>
      <c r="C8" s="65">
        <f t="shared" si="0"/>
        <v>6</v>
      </c>
      <c r="D8" s="51">
        <v>107</v>
      </c>
      <c r="E8" s="65">
        <f t="shared" si="0"/>
        <v>6</v>
      </c>
      <c r="F8" s="51">
        <v>109.5</v>
      </c>
      <c r="G8" s="65">
        <f t="shared" si="0"/>
        <v>6</v>
      </c>
      <c r="H8" s="51">
        <v>114.5</v>
      </c>
      <c r="I8" s="65">
        <f t="shared" si="0"/>
        <v>6</v>
      </c>
      <c r="J8" s="51">
        <v>119</v>
      </c>
      <c r="K8" s="65">
        <f t="shared" si="0"/>
        <v>6</v>
      </c>
      <c r="L8" s="51">
        <v>125</v>
      </c>
      <c r="M8" s="65">
        <f t="shared" si="0"/>
        <v>6</v>
      </c>
      <c r="N8" s="51">
        <v>130</v>
      </c>
      <c r="O8" s="65">
        <f t="shared" si="0"/>
        <v>6</v>
      </c>
      <c r="P8" s="52">
        <v>133</v>
      </c>
      <c r="R8" s="67">
        <v>-2</v>
      </c>
      <c r="S8" s="68">
        <v>2</v>
      </c>
    </row>
    <row r="9" spans="1:19" x14ac:dyDescent="0.25">
      <c r="A9" s="34">
        <v>7</v>
      </c>
      <c r="B9" s="51">
        <v>110</v>
      </c>
      <c r="C9" s="65">
        <f t="shared" si="0"/>
        <v>7</v>
      </c>
      <c r="D9" s="51">
        <v>112.5</v>
      </c>
      <c r="E9" s="65">
        <f t="shared" si="0"/>
        <v>7</v>
      </c>
      <c r="F9" s="51">
        <v>115</v>
      </c>
      <c r="G9" s="65">
        <f t="shared" si="0"/>
        <v>7</v>
      </c>
      <c r="H9" s="51">
        <v>121</v>
      </c>
      <c r="I9" s="65">
        <f t="shared" si="0"/>
        <v>7</v>
      </c>
      <c r="J9" s="51">
        <v>126</v>
      </c>
      <c r="K9" s="65">
        <f t="shared" si="0"/>
        <v>7</v>
      </c>
      <c r="L9" s="51">
        <v>131</v>
      </c>
      <c r="M9" s="65">
        <f t="shared" si="0"/>
        <v>7</v>
      </c>
      <c r="N9" s="51">
        <v>137</v>
      </c>
      <c r="O9" s="65">
        <f t="shared" si="0"/>
        <v>7</v>
      </c>
      <c r="P9" s="52">
        <v>140</v>
      </c>
      <c r="R9" s="67">
        <v>-2.5</v>
      </c>
      <c r="S9" s="68">
        <v>0.6</v>
      </c>
    </row>
    <row r="10" spans="1:19" x14ac:dyDescent="0.25">
      <c r="A10" s="34">
        <v>8</v>
      </c>
      <c r="B10" s="51">
        <v>114.5</v>
      </c>
      <c r="C10" s="65">
        <f t="shared" si="0"/>
        <v>8</v>
      </c>
      <c r="D10" s="51">
        <v>118</v>
      </c>
      <c r="E10" s="65">
        <f t="shared" si="0"/>
        <v>8</v>
      </c>
      <c r="F10" s="51">
        <v>121</v>
      </c>
      <c r="G10" s="65">
        <f t="shared" si="0"/>
        <v>8</v>
      </c>
      <c r="H10" s="51">
        <v>126</v>
      </c>
      <c r="I10" s="65">
        <f t="shared" si="0"/>
        <v>8</v>
      </c>
      <c r="J10" s="51">
        <v>132</v>
      </c>
      <c r="K10" s="65">
        <f t="shared" si="0"/>
        <v>8</v>
      </c>
      <c r="L10" s="51">
        <v>138</v>
      </c>
      <c r="M10" s="65">
        <f t="shared" si="0"/>
        <v>8</v>
      </c>
      <c r="N10" s="51">
        <v>144</v>
      </c>
      <c r="O10" s="65">
        <f t="shared" si="0"/>
        <v>8</v>
      </c>
      <c r="P10" s="52">
        <v>147</v>
      </c>
      <c r="R10" s="69">
        <v>-3</v>
      </c>
      <c r="S10" s="70">
        <v>0.1</v>
      </c>
    </row>
    <row r="11" spans="1:19" x14ac:dyDescent="0.25">
      <c r="A11" s="34">
        <v>9</v>
      </c>
      <c r="B11" s="51">
        <v>120</v>
      </c>
      <c r="C11" s="65">
        <f t="shared" si="0"/>
        <v>9</v>
      </c>
      <c r="D11" s="51">
        <v>123</v>
      </c>
      <c r="E11" s="65">
        <f t="shared" si="0"/>
        <v>9</v>
      </c>
      <c r="F11" s="51">
        <v>126</v>
      </c>
      <c r="G11" s="65">
        <f t="shared" si="0"/>
        <v>9</v>
      </c>
      <c r="H11" s="51">
        <v>132</v>
      </c>
      <c r="I11" s="65">
        <f t="shared" si="0"/>
        <v>9</v>
      </c>
      <c r="J11" s="51">
        <v>138</v>
      </c>
      <c r="K11" s="65">
        <f t="shared" si="0"/>
        <v>9</v>
      </c>
      <c r="L11" s="51">
        <v>144</v>
      </c>
      <c r="M11" s="65">
        <f t="shared" si="0"/>
        <v>9</v>
      </c>
      <c r="N11" s="51">
        <v>151</v>
      </c>
      <c r="O11" s="65">
        <f t="shared" si="0"/>
        <v>9</v>
      </c>
      <c r="P11" s="52">
        <v>153.5</v>
      </c>
    </row>
    <row r="12" spans="1:19" x14ac:dyDescent="0.25">
      <c r="A12" s="34">
        <v>10</v>
      </c>
      <c r="B12" s="51">
        <v>124</v>
      </c>
      <c r="C12" s="65">
        <f t="shared" si="0"/>
        <v>10</v>
      </c>
      <c r="D12" s="51">
        <v>127</v>
      </c>
      <c r="E12" s="65">
        <f t="shared" si="0"/>
        <v>10</v>
      </c>
      <c r="F12" s="51">
        <v>130.5</v>
      </c>
      <c r="G12" s="65">
        <f t="shared" si="0"/>
        <v>10</v>
      </c>
      <c r="H12" s="51">
        <v>137</v>
      </c>
      <c r="I12" s="65">
        <f t="shared" si="0"/>
        <v>10</v>
      </c>
      <c r="J12" s="51">
        <v>144</v>
      </c>
      <c r="K12" s="65">
        <f t="shared" si="0"/>
        <v>10</v>
      </c>
      <c r="L12" s="51">
        <v>150.5</v>
      </c>
      <c r="M12" s="65">
        <f t="shared" si="0"/>
        <v>10</v>
      </c>
      <c r="N12" s="51">
        <v>157</v>
      </c>
      <c r="O12" s="65">
        <f t="shared" si="0"/>
        <v>10</v>
      </c>
      <c r="P12" s="52">
        <v>160</v>
      </c>
    </row>
    <row r="13" spans="1:19" x14ac:dyDescent="0.25">
      <c r="A13" s="34">
        <v>11</v>
      </c>
      <c r="B13" s="51">
        <v>128</v>
      </c>
      <c r="C13" s="65">
        <f t="shared" si="0"/>
        <v>11</v>
      </c>
      <c r="D13" s="51">
        <v>132</v>
      </c>
      <c r="E13" s="65">
        <f t="shared" si="0"/>
        <v>11</v>
      </c>
      <c r="F13" s="51">
        <v>134.5</v>
      </c>
      <c r="G13" s="65">
        <f t="shared" si="0"/>
        <v>11</v>
      </c>
      <c r="H13" s="51">
        <v>142</v>
      </c>
      <c r="I13" s="65">
        <f t="shared" si="0"/>
        <v>11</v>
      </c>
      <c r="J13" s="51">
        <v>149</v>
      </c>
      <c r="K13" s="65">
        <f t="shared" si="0"/>
        <v>11</v>
      </c>
      <c r="L13" s="51">
        <v>156</v>
      </c>
      <c r="M13" s="65">
        <f t="shared" si="0"/>
        <v>11</v>
      </c>
      <c r="N13" s="51">
        <v>163</v>
      </c>
      <c r="O13" s="65">
        <f t="shared" si="0"/>
        <v>11</v>
      </c>
      <c r="P13" s="52">
        <v>166.5</v>
      </c>
    </row>
    <row r="14" spans="1:19" x14ac:dyDescent="0.25">
      <c r="A14" s="34">
        <v>12</v>
      </c>
      <c r="B14" s="51">
        <v>132</v>
      </c>
      <c r="C14" s="65">
        <f t="shared" si="0"/>
        <v>12</v>
      </c>
      <c r="D14" s="51">
        <v>136</v>
      </c>
      <c r="E14" s="65">
        <f t="shared" si="0"/>
        <v>12</v>
      </c>
      <c r="F14" s="51">
        <v>140</v>
      </c>
      <c r="G14" s="65">
        <f t="shared" si="0"/>
        <v>12</v>
      </c>
      <c r="H14" s="51">
        <v>148</v>
      </c>
      <c r="I14" s="65">
        <f t="shared" si="0"/>
        <v>12</v>
      </c>
      <c r="J14" s="51">
        <v>155</v>
      </c>
      <c r="K14" s="65">
        <f t="shared" si="0"/>
        <v>12</v>
      </c>
      <c r="L14" s="51">
        <v>163</v>
      </c>
      <c r="M14" s="65">
        <f t="shared" si="0"/>
        <v>12</v>
      </c>
      <c r="N14" s="51">
        <v>170.5</v>
      </c>
      <c r="O14" s="65">
        <f t="shared" si="0"/>
        <v>12</v>
      </c>
      <c r="P14" s="52">
        <v>174.5</v>
      </c>
    </row>
    <row r="15" spans="1:19" x14ac:dyDescent="0.25">
      <c r="A15" s="34">
        <v>13</v>
      </c>
      <c r="B15" s="51">
        <v>137</v>
      </c>
      <c r="C15" s="65">
        <f t="shared" si="0"/>
        <v>13</v>
      </c>
      <c r="D15" s="51">
        <v>141</v>
      </c>
      <c r="E15" s="65">
        <f t="shared" si="0"/>
        <v>13</v>
      </c>
      <c r="F15" s="51">
        <v>145</v>
      </c>
      <c r="G15" s="65">
        <f t="shared" si="0"/>
        <v>13</v>
      </c>
      <c r="H15" s="51">
        <v>154</v>
      </c>
      <c r="I15" s="65">
        <f t="shared" si="0"/>
        <v>13</v>
      </c>
      <c r="J15" s="51">
        <v>161.5</v>
      </c>
      <c r="K15" s="65">
        <f t="shared" si="0"/>
        <v>13</v>
      </c>
      <c r="L15" s="51">
        <v>170</v>
      </c>
      <c r="M15" s="65">
        <f t="shared" si="0"/>
        <v>13</v>
      </c>
      <c r="N15" s="51">
        <v>178</v>
      </c>
      <c r="O15" s="65">
        <f t="shared" si="0"/>
        <v>13</v>
      </c>
      <c r="P15" s="52">
        <v>182.5</v>
      </c>
    </row>
    <row r="16" spans="1:19" x14ac:dyDescent="0.25">
      <c r="A16" s="34">
        <v>14</v>
      </c>
      <c r="B16" s="51">
        <v>143.5</v>
      </c>
      <c r="C16" s="65">
        <f t="shared" si="0"/>
        <v>14</v>
      </c>
      <c r="D16" s="51">
        <v>148</v>
      </c>
      <c r="E16" s="65">
        <f t="shared" si="0"/>
        <v>14</v>
      </c>
      <c r="F16" s="51">
        <v>152</v>
      </c>
      <c r="G16" s="65">
        <f t="shared" si="0"/>
        <v>14</v>
      </c>
      <c r="H16" s="51">
        <v>160.5</v>
      </c>
      <c r="I16" s="65">
        <f t="shared" si="0"/>
        <v>14</v>
      </c>
      <c r="J16" s="51">
        <v>168.5</v>
      </c>
      <c r="K16" s="65">
        <f t="shared" si="0"/>
        <v>14</v>
      </c>
      <c r="L16" s="51">
        <v>177</v>
      </c>
      <c r="M16" s="65">
        <f t="shared" si="0"/>
        <v>14</v>
      </c>
      <c r="N16" s="51">
        <v>185</v>
      </c>
      <c r="O16" s="65">
        <f t="shared" si="0"/>
        <v>14</v>
      </c>
      <c r="P16" s="52">
        <v>189.5</v>
      </c>
    </row>
    <row r="17" spans="1:16" x14ac:dyDescent="0.25">
      <c r="A17" s="34">
        <v>15</v>
      </c>
      <c r="B17" s="51">
        <v>151</v>
      </c>
      <c r="C17" s="65">
        <f t="shared" si="0"/>
        <v>15</v>
      </c>
      <c r="D17" s="51">
        <v>154.5</v>
      </c>
      <c r="E17" s="65">
        <f t="shared" si="0"/>
        <v>15</v>
      </c>
      <c r="F17" s="51">
        <v>159</v>
      </c>
      <c r="G17" s="65">
        <f t="shared" si="0"/>
        <v>15</v>
      </c>
      <c r="H17" s="51">
        <v>167</v>
      </c>
      <c r="I17" s="65">
        <f t="shared" si="0"/>
        <v>15</v>
      </c>
      <c r="J17" s="51">
        <v>175</v>
      </c>
      <c r="K17" s="65">
        <f t="shared" si="0"/>
        <v>15</v>
      </c>
      <c r="L17" s="51">
        <v>183</v>
      </c>
      <c r="M17" s="65">
        <f t="shared" si="0"/>
        <v>15</v>
      </c>
      <c r="N17" s="51">
        <v>191</v>
      </c>
      <c r="O17" s="65">
        <f t="shared" si="0"/>
        <v>15</v>
      </c>
      <c r="P17" s="52">
        <v>195</v>
      </c>
    </row>
    <row r="18" spans="1:16" x14ac:dyDescent="0.25">
      <c r="A18" s="34">
        <v>16</v>
      </c>
      <c r="B18" s="51">
        <v>156</v>
      </c>
      <c r="C18" s="65">
        <f t="shared" si="0"/>
        <v>16</v>
      </c>
      <c r="D18" s="51">
        <v>160</v>
      </c>
      <c r="E18" s="65">
        <f t="shared" si="0"/>
        <v>16</v>
      </c>
      <c r="F18" s="51">
        <v>164</v>
      </c>
      <c r="G18" s="65">
        <f t="shared" si="0"/>
        <v>16</v>
      </c>
      <c r="H18" s="51">
        <v>171.5</v>
      </c>
      <c r="I18" s="65">
        <f t="shared" si="0"/>
        <v>16</v>
      </c>
      <c r="J18" s="51">
        <v>178.5</v>
      </c>
      <c r="K18" s="65">
        <f t="shared" si="0"/>
        <v>16</v>
      </c>
      <c r="L18" s="51">
        <v>186.5</v>
      </c>
      <c r="M18" s="65">
        <f t="shared" si="0"/>
        <v>16</v>
      </c>
      <c r="N18" s="51">
        <v>194</v>
      </c>
      <c r="O18" s="65">
        <f t="shared" si="0"/>
        <v>16</v>
      </c>
      <c r="P18" s="52">
        <v>198</v>
      </c>
    </row>
    <row r="19" spans="1:16" x14ac:dyDescent="0.25">
      <c r="A19" s="34">
        <v>17</v>
      </c>
      <c r="B19" s="51">
        <v>158</v>
      </c>
      <c r="C19" s="65">
        <f t="shared" si="0"/>
        <v>17</v>
      </c>
      <c r="D19" s="51">
        <v>162.5</v>
      </c>
      <c r="E19" s="65">
        <f t="shared" si="0"/>
        <v>17</v>
      </c>
      <c r="F19" s="51">
        <v>166</v>
      </c>
      <c r="G19" s="65">
        <f t="shared" si="0"/>
        <v>17</v>
      </c>
      <c r="H19" s="51">
        <v>173</v>
      </c>
      <c r="I19" s="65">
        <f t="shared" si="0"/>
        <v>17</v>
      </c>
      <c r="J19" s="51">
        <v>181</v>
      </c>
      <c r="K19" s="65">
        <f t="shared" si="0"/>
        <v>17</v>
      </c>
      <c r="L19" s="51">
        <v>188.5</v>
      </c>
      <c r="M19" s="65">
        <f t="shared" si="0"/>
        <v>17</v>
      </c>
      <c r="N19" s="51">
        <v>195.5</v>
      </c>
      <c r="O19" s="65">
        <f t="shared" si="0"/>
        <v>17</v>
      </c>
      <c r="P19" s="52">
        <v>199</v>
      </c>
    </row>
    <row r="20" spans="1:16" x14ac:dyDescent="0.25">
      <c r="A20" s="34">
        <v>18</v>
      </c>
      <c r="B20" s="51">
        <v>160.5</v>
      </c>
      <c r="C20" s="65">
        <f t="shared" si="0"/>
        <v>18</v>
      </c>
      <c r="D20" s="51">
        <v>164.5</v>
      </c>
      <c r="E20" s="65">
        <f t="shared" si="0"/>
        <v>18</v>
      </c>
      <c r="F20" s="51">
        <v>168</v>
      </c>
      <c r="G20" s="65">
        <f t="shared" si="0"/>
        <v>18</v>
      </c>
      <c r="H20" s="51">
        <v>175</v>
      </c>
      <c r="I20" s="65">
        <f t="shared" si="0"/>
        <v>18</v>
      </c>
      <c r="J20" s="51">
        <v>182.5</v>
      </c>
      <c r="K20" s="65">
        <f t="shared" si="0"/>
        <v>18</v>
      </c>
      <c r="L20" s="51">
        <v>189.5</v>
      </c>
      <c r="M20" s="65">
        <f t="shared" si="0"/>
        <v>18</v>
      </c>
      <c r="N20" s="51">
        <v>196.5</v>
      </c>
      <c r="O20" s="65">
        <f t="shared" si="0"/>
        <v>18</v>
      </c>
      <c r="P20" s="52">
        <v>200.5</v>
      </c>
    </row>
    <row r="21" spans="1:16" x14ac:dyDescent="0.25">
      <c r="A21" s="34">
        <v>19</v>
      </c>
      <c r="B21" s="51">
        <v>162</v>
      </c>
      <c r="C21" s="65">
        <f t="shared" si="0"/>
        <v>19</v>
      </c>
      <c r="D21" s="51">
        <v>166</v>
      </c>
      <c r="E21" s="65">
        <f t="shared" si="0"/>
        <v>19</v>
      </c>
      <c r="F21" s="51">
        <v>169</v>
      </c>
      <c r="G21" s="65">
        <f t="shared" si="0"/>
        <v>19</v>
      </c>
      <c r="H21" s="51">
        <v>176.5</v>
      </c>
      <c r="I21" s="65">
        <f t="shared" si="0"/>
        <v>19</v>
      </c>
      <c r="J21" s="51">
        <v>183.7</v>
      </c>
      <c r="K21" s="65">
        <f t="shared" si="0"/>
        <v>19</v>
      </c>
      <c r="L21" s="51">
        <v>190.5</v>
      </c>
      <c r="M21" s="65">
        <f t="shared" si="0"/>
        <v>19</v>
      </c>
      <c r="N21" s="51">
        <v>198</v>
      </c>
      <c r="O21" s="65">
        <f t="shared" si="0"/>
        <v>19</v>
      </c>
      <c r="P21" s="52">
        <v>201.5</v>
      </c>
    </row>
    <row r="22" spans="1:16" x14ac:dyDescent="0.25">
      <c r="A22" s="34">
        <v>20</v>
      </c>
      <c r="B22" s="51">
        <v>162.5</v>
      </c>
      <c r="C22" s="65">
        <f t="shared" si="0"/>
        <v>20</v>
      </c>
      <c r="D22" s="51">
        <v>166</v>
      </c>
      <c r="E22" s="65">
        <f t="shared" si="0"/>
        <v>20</v>
      </c>
      <c r="F22" s="51">
        <v>169.5</v>
      </c>
      <c r="G22" s="65">
        <f t="shared" si="0"/>
        <v>20</v>
      </c>
      <c r="H22" s="51">
        <v>176.5</v>
      </c>
      <c r="I22" s="65">
        <f t="shared" si="0"/>
        <v>20</v>
      </c>
      <c r="J22" s="51">
        <v>184</v>
      </c>
      <c r="K22" s="65">
        <f t="shared" si="0"/>
        <v>20</v>
      </c>
      <c r="L22" s="51">
        <v>191</v>
      </c>
      <c r="M22" s="65">
        <f t="shared" si="0"/>
        <v>20</v>
      </c>
      <c r="N22" s="51">
        <v>198</v>
      </c>
      <c r="O22" s="65">
        <f t="shared" si="0"/>
        <v>20</v>
      </c>
      <c r="P22" s="52">
        <v>201.5</v>
      </c>
    </row>
    <row r="23" spans="1:16" ht="15.75" thickBot="1" x14ac:dyDescent="0.3">
      <c r="A23" s="71">
        <v>21</v>
      </c>
      <c r="B23" s="57">
        <v>162.5</v>
      </c>
      <c r="C23" s="72">
        <f t="shared" si="0"/>
        <v>21</v>
      </c>
      <c r="D23" s="57">
        <v>166</v>
      </c>
      <c r="E23" s="72">
        <f t="shared" si="0"/>
        <v>21</v>
      </c>
      <c r="F23" s="57">
        <v>169.5</v>
      </c>
      <c r="G23" s="72">
        <f t="shared" si="0"/>
        <v>21</v>
      </c>
      <c r="H23" s="57">
        <v>176.5</v>
      </c>
      <c r="I23" s="72">
        <f t="shared" si="0"/>
        <v>21</v>
      </c>
      <c r="J23" s="57">
        <v>184</v>
      </c>
      <c r="K23" s="72">
        <f t="shared" si="0"/>
        <v>21</v>
      </c>
      <c r="L23" s="57">
        <v>191</v>
      </c>
      <c r="M23" s="72">
        <f t="shared" si="0"/>
        <v>21</v>
      </c>
      <c r="N23" s="57">
        <v>198</v>
      </c>
      <c r="O23" s="72">
        <f t="shared" si="0"/>
        <v>21</v>
      </c>
      <c r="P23" s="58">
        <v>201.5</v>
      </c>
    </row>
  </sheetData>
  <sheetProtection sheet="1" objects="1" scenarios="1"/>
  <mergeCells count="1">
    <mergeCell ref="A1:P1"/>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sheetPr>
  <dimension ref="A1:K19"/>
  <sheetViews>
    <sheetView workbookViewId="0">
      <selection activeCell="K47" sqref="K47:K48"/>
    </sheetView>
  </sheetViews>
  <sheetFormatPr defaultRowHeight="15" x14ac:dyDescent="0.25"/>
  <cols>
    <col min="1" max="1" width="9.140625" style="59"/>
  </cols>
  <sheetData>
    <row r="1" spans="1:11" x14ac:dyDescent="0.25">
      <c r="A1" s="73"/>
      <c r="B1" s="39" t="s">
        <v>35</v>
      </c>
      <c r="C1" s="40" t="s">
        <v>50</v>
      </c>
      <c r="D1" s="39" t="s">
        <v>37</v>
      </c>
      <c r="E1" s="40" t="s">
        <v>38</v>
      </c>
      <c r="F1" s="39" t="s">
        <v>39</v>
      </c>
      <c r="G1" s="40" t="s">
        <v>40</v>
      </c>
      <c r="H1" s="39" t="s">
        <v>41</v>
      </c>
      <c r="I1" s="40" t="s">
        <v>42</v>
      </c>
      <c r="J1" s="39" t="s">
        <v>43</v>
      </c>
      <c r="K1" s="41" t="s">
        <v>44</v>
      </c>
    </row>
    <row r="2" spans="1:11" x14ac:dyDescent="0.25">
      <c r="A2" s="74">
        <v>2</v>
      </c>
      <c r="B2" s="75">
        <f>'BMI M norm'!B4-'BMI M norm'!B3</f>
        <v>-0.30000000000000071</v>
      </c>
      <c r="C2" s="76">
        <f>'BMI M norm'!B3-'BMI M - lijnstukken'!B2*'BMI M - lijnstukken'!$A2</f>
        <v>14.000000000000002</v>
      </c>
      <c r="D2" s="75">
        <f>'BMI M norm'!D4-'BMI M norm'!D3</f>
        <v>-0.29999999999999893</v>
      </c>
      <c r="E2" s="76">
        <f>'BMI M norm'!D3-'BMI M - lijnstukken'!D2*'BMI M - lijnstukken'!$A2</f>
        <v>14.699999999999998</v>
      </c>
      <c r="F2" s="75">
        <f>'BMI M norm'!F4-'BMI M norm'!F3</f>
        <v>-0.40000000000000036</v>
      </c>
      <c r="G2" s="76">
        <f>'BMI M norm'!F3-'BMI M - lijnstukken'!F2*'BMI M - lijnstukken'!$A2</f>
        <v>17.05</v>
      </c>
      <c r="H2" s="75">
        <f>'BMI M norm'!H4-'BMI M norm'!H3</f>
        <v>-0.5</v>
      </c>
      <c r="I2" s="76">
        <f>'BMI M norm'!H3-'BMI M - lijnstukken'!H2*'BMI M - lijnstukken'!$A2</f>
        <v>19.399999999999999</v>
      </c>
      <c r="J2" s="75">
        <f>'BMI M norm'!J4-'BMI M norm'!J3</f>
        <v>-0.5</v>
      </c>
      <c r="K2" s="77">
        <f>'BMI M norm'!J3-'BMI M - lijnstukken'!J2*'BMI M - lijnstukken'!$A2</f>
        <v>21.1</v>
      </c>
    </row>
    <row r="3" spans="1:11" x14ac:dyDescent="0.25">
      <c r="A3" s="74">
        <v>3</v>
      </c>
      <c r="B3" s="78">
        <f>'BMI M norm'!B5-'BMI M norm'!B4</f>
        <v>-0.29999999999999893</v>
      </c>
      <c r="C3" s="79">
        <f>'BMI M norm'!B4-'BMI M - lijnstukken'!B3*'BMI M - lijnstukken'!$A3</f>
        <v>13.999999999999996</v>
      </c>
      <c r="D3" s="78">
        <f>'BMI M norm'!D5-'BMI M norm'!D4</f>
        <v>-0.30000000000000071</v>
      </c>
      <c r="E3" s="79">
        <f>'BMI M norm'!D4-'BMI M - lijnstukken'!D3*'BMI M - lijnstukken'!$A3</f>
        <v>14.700000000000003</v>
      </c>
      <c r="F3" s="78">
        <f>'BMI M norm'!F5-'BMI M norm'!F4</f>
        <v>-0.32499999999999929</v>
      </c>
      <c r="G3" s="79">
        <f>'BMI M norm'!F4-'BMI M - lijnstukken'!F3*'BMI M - lijnstukken'!$A3</f>
        <v>16.824999999999996</v>
      </c>
      <c r="H3" s="78">
        <f>'BMI M norm'!H5-'BMI M norm'!H4</f>
        <v>-0.34999999999999787</v>
      </c>
      <c r="I3" s="79">
        <f>'BMI M norm'!H4-'BMI M - lijnstukken'!H3*'BMI M - lijnstukken'!$A3</f>
        <v>18.949999999999992</v>
      </c>
      <c r="J3" s="78">
        <f>'BMI M norm'!J5-'BMI M norm'!J4</f>
        <v>-0.30000000000000071</v>
      </c>
      <c r="K3" s="37">
        <f>'BMI M norm'!J4-'BMI M - lijnstukken'!J3*'BMI M - lijnstukken'!$A3</f>
        <v>20.500000000000004</v>
      </c>
    </row>
    <row r="4" spans="1:11" x14ac:dyDescent="0.25">
      <c r="A4" s="74">
        <v>4</v>
      </c>
      <c r="B4" s="78">
        <f>'BMI M norm'!B6-'BMI M norm'!B5</f>
        <v>-0.20000000000000107</v>
      </c>
      <c r="C4" s="79">
        <f>'BMI M norm'!B5-'BMI M - lijnstukken'!B4*'BMI M - lijnstukken'!$A4</f>
        <v>13.600000000000005</v>
      </c>
      <c r="D4" s="78">
        <f>'BMI M norm'!D6-'BMI M norm'!D5</f>
        <v>-0.19999999999999929</v>
      </c>
      <c r="E4" s="79">
        <f>'BMI M norm'!D5-'BMI M - lijnstukken'!D4*'BMI M - lijnstukken'!$A4</f>
        <v>14.299999999999997</v>
      </c>
      <c r="F4" s="78">
        <f>'BMI M norm'!F6-'BMI M norm'!F5</f>
        <v>-0.17500000000000071</v>
      </c>
      <c r="G4" s="79">
        <f>'BMI M norm'!F5-'BMI M - lijnstukken'!F4*'BMI M - lijnstukken'!$A4</f>
        <v>16.225000000000001</v>
      </c>
      <c r="H4" s="78">
        <f>'BMI M norm'!H6-'BMI M norm'!H5</f>
        <v>-0.15000000000000213</v>
      </c>
      <c r="I4" s="79">
        <f>'BMI M norm'!H5-'BMI M - lijnstukken'!H4*'BMI M - lijnstukken'!$A4</f>
        <v>18.150000000000009</v>
      </c>
      <c r="J4" s="78">
        <f>'BMI M norm'!J6-'BMI M norm'!J5</f>
        <v>0</v>
      </c>
      <c r="K4" s="37">
        <f>'BMI M norm'!J5-'BMI M - lijnstukken'!J4*'BMI M - lijnstukken'!$A4</f>
        <v>19.3</v>
      </c>
    </row>
    <row r="5" spans="1:11" x14ac:dyDescent="0.25">
      <c r="A5" s="74">
        <v>5</v>
      </c>
      <c r="B5" s="78">
        <f>'BMI M norm'!B7-'BMI M norm'!B6</f>
        <v>-9.9999999999999645E-2</v>
      </c>
      <c r="C5" s="79">
        <f>'BMI M norm'!B6-'BMI M - lijnstukken'!B5*'BMI M - lijnstukken'!$A5</f>
        <v>13.099999999999998</v>
      </c>
      <c r="D5" s="78">
        <f>'BMI M norm'!D7-'BMI M norm'!D6</f>
        <v>-0.10000000000000142</v>
      </c>
      <c r="E5" s="79">
        <f>'BMI M norm'!D6-'BMI M - lijnstukken'!D5*'BMI M - lijnstukken'!$A5</f>
        <v>13.800000000000008</v>
      </c>
      <c r="F5" s="78">
        <f>'BMI M norm'!F7-'BMI M norm'!F6</f>
        <v>2.5000000000000355E-2</v>
      </c>
      <c r="G5" s="79">
        <f>'BMI M norm'!F6-'BMI M - lijnstukken'!F5*'BMI M - lijnstukken'!$A5</f>
        <v>15.224999999999998</v>
      </c>
      <c r="H5" s="78">
        <f>'BMI M norm'!H7-'BMI M norm'!H6</f>
        <v>0.15000000000000213</v>
      </c>
      <c r="I5" s="79">
        <f>'BMI M norm'!H6-'BMI M - lijnstukken'!H5*'BMI M - lijnstukken'!$A5</f>
        <v>16.649999999999988</v>
      </c>
      <c r="J5" s="78">
        <f>'BMI M norm'!J7-'BMI M norm'!J6</f>
        <v>0.5</v>
      </c>
      <c r="K5" s="37">
        <f>'BMI M norm'!J6-'BMI M - lijnstukken'!J5*'BMI M - lijnstukken'!$A5</f>
        <v>16.8</v>
      </c>
    </row>
    <row r="6" spans="1:11" x14ac:dyDescent="0.25">
      <c r="A6" s="74">
        <v>6</v>
      </c>
      <c r="B6" s="78">
        <f>'BMI M norm'!B8-'BMI M norm'!B7</f>
        <v>-9.9999999999999645E-2</v>
      </c>
      <c r="C6" s="79">
        <f>'BMI M norm'!B7-'BMI M - lijnstukken'!B6*'BMI M - lijnstukken'!$A6</f>
        <v>13.099999999999998</v>
      </c>
      <c r="D6" s="78">
        <f>'BMI M norm'!D8-'BMI M norm'!D7</f>
        <v>-9.9999999999999645E-2</v>
      </c>
      <c r="E6" s="79">
        <f>'BMI M norm'!D7-'BMI M - lijnstukken'!D6*'BMI M - lijnstukken'!$A6</f>
        <v>13.799999999999997</v>
      </c>
      <c r="F6" s="78">
        <f>'BMI M norm'!F8-'BMI M norm'!F7</f>
        <v>0.125</v>
      </c>
      <c r="G6" s="79">
        <f>'BMI M norm'!F7-'BMI M - lijnstukken'!F6*'BMI M - lijnstukken'!$A6</f>
        <v>14.625</v>
      </c>
      <c r="H6" s="78">
        <f>'BMI M norm'!H8-'BMI M norm'!H7</f>
        <v>0.34999999999999787</v>
      </c>
      <c r="I6" s="79">
        <f>'BMI M norm'!H7-'BMI M - lijnstukken'!H6*'BMI M - lijnstukken'!$A6</f>
        <v>15.450000000000014</v>
      </c>
      <c r="J6" s="78">
        <f>'BMI M norm'!J8-'BMI M norm'!J7</f>
        <v>0.89999999999999858</v>
      </c>
      <c r="K6" s="37">
        <f>'BMI M norm'!J7-'BMI M - lijnstukken'!J6*'BMI M - lijnstukken'!$A6</f>
        <v>14.400000000000009</v>
      </c>
    </row>
    <row r="7" spans="1:11" x14ac:dyDescent="0.25">
      <c r="A7" s="74">
        <v>7</v>
      </c>
      <c r="B7" s="78">
        <f>'BMI M norm'!B9-'BMI M norm'!B8</f>
        <v>0</v>
      </c>
      <c r="C7" s="79">
        <f>'BMI M norm'!B8-'BMI M - lijnstukken'!B7*'BMI M - lijnstukken'!$A7</f>
        <v>12.4</v>
      </c>
      <c r="D7" s="78">
        <f>'BMI M norm'!D9-'BMI M norm'!D8</f>
        <v>9.9999999999999645E-2</v>
      </c>
      <c r="E7" s="79">
        <f>'BMI M norm'!D8-'BMI M - lijnstukken'!D7*'BMI M - lijnstukken'!$A7</f>
        <v>12.400000000000002</v>
      </c>
      <c r="F7" s="78">
        <f>'BMI M norm'!F9-'BMI M norm'!F8</f>
        <v>0.29999999999999893</v>
      </c>
      <c r="G7" s="79">
        <f>'BMI M norm'!F8-'BMI M - lijnstukken'!F7*'BMI M - lijnstukken'!$A7</f>
        <v>13.400000000000007</v>
      </c>
      <c r="H7" s="78">
        <f>'BMI M norm'!H9-'BMI M norm'!H8</f>
        <v>0.5</v>
      </c>
      <c r="I7" s="79">
        <f>'BMI M norm'!H8-'BMI M - lijnstukken'!H7*'BMI M - lijnstukken'!$A7</f>
        <v>14.399999999999999</v>
      </c>
      <c r="J7" s="78">
        <f>'BMI M norm'!J9-'BMI M norm'!J8</f>
        <v>0.90000000000000213</v>
      </c>
      <c r="K7" s="37">
        <f>'BMI M norm'!J8-'BMI M - lijnstukken'!J7*'BMI M - lijnstukken'!$A7</f>
        <v>14.399999999999984</v>
      </c>
    </row>
    <row r="8" spans="1:11" x14ac:dyDescent="0.25">
      <c r="A8" s="74">
        <v>8</v>
      </c>
      <c r="B8" s="78">
        <f>'BMI M norm'!B10-'BMI M norm'!B9</f>
        <v>9.9999999999999645E-2</v>
      </c>
      <c r="C8" s="79">
        <f>'BMI M norm'!B9-'BMI M - lijnstukken'!B8*'BMI M - lijnstukken'!$A8</f>
        <v>11.600000000000003</v>
      </c>
      <c r="D8" s="78">
        <f>'BMI M norm'!D10-'BMI M norm'!D9</f>
        <v>5.0000000000000711E-2</v>
      </c>
      <c r="E8" s="79">
        <f>'BMI M norm'!D9-'BMI M - lijnstukken'!D8*'BMI M - lijnstukken'!$A8</f>
        <v>12.799999999999994</v>
      </c>
      <c r="F8" s="78">
        <f>'BMI M norm'!F10-'BMI M norm'!F9</f>
        <v>0.37500000000000178</v>
      </c>
      <c r="G8" s="79">
        <f>'BMI M norm'!F9-'BMI M - lijnstukken'!F8*'BMI M - lijnstukken'!$A8</f>
        <v>12.799999999999985</v>
      </c>
      <c r="H8" s="78">
        <f>'BMI M norm'!H10-'BMI M norm'!H9</f>
        <v>0.70000000000000284</v>
      </c>
      <c r="I8" s="79">
        <f>'BMI M norm'!H9-'BMI M - lijnstukken'!H8*'BMI M - lijnstukken'!$A8</f>
        <v>12.799999999999976</v>
      </c>
      <c r="J8" s="78">
        <f>'BMI M norm'!J10-'BMI M norm'!J9</f>
        <v>1.1999999999999993</v>
      </c>
      <c r="K8" s="37">
        <f>'BMI M norm'!J9-'BMI M - lijnstukken'!J8*'BMI M - lijnstukken'!$A8</f>
        <v>12.000000000000007</v>
      </c>
    </row>
    <row r="9" spans="1:11" x14ac:dyDescent="0.25">
      <c r="A9" s="74">
        <v>9</v>
      </c>
      <c r="B9" s="78">
        <f>'BMI M norm'!B11-'BMI M norm'!B10</f>
        <v>0.19999999999999929</v>
      </c>
      <c r="C9" s="79">
        <f>'BMI M norm'!B10-'BMI M - lijnstukken'!B9*'BMI M - lijnstukken'!$A9</f>
        <v>10.700000000000006</v>
      </c>
      <c r="D9" s="78">
        <f>'BMI M norm'!D11-'BMI M norm'!D10</f>
        <v>0.19999999999999929</v>
      </c>
      <c r="E9" s="79">
        <f>'BMI M norm'!D10-'BMI M - lijnstukken'!D9*'BMI M - lijnstukken'!$A9</f>
        <v>11.450000000000006</v>
      </c>
      <c r="F9" s="78">
        <f>'BMI M norm'!F11-'BMI M norm'!F10</f>
        <v>0.44999999999999929</v>
      </c>
      <c r="G9" s="79">
        <f>'BMI M norm'!F10-'BMI M - lijnstukken'!F9*'BMI M - lijnstukken'!$A9</f>
        <v>12.125000000000007</v>
      </c>
      <c r="H9" s="78">
        <f>'BMI M norm'!H11-'BMI M norm'!H10</f>
        <v>0.69999999999999929</v>
      </c>
      <c r="I9" s="79">
        <f>'BMI M norm'!H10-'BMI M - lijnstukken'!H9*'BMI M - lijnstukken'!$A9</f>
        <v>12.800000000000008</v>
      </c>
      <c r="J9" s="78">
        <f>'BMI M norm'!J11-'BMI M norm'!J10</f>
        <v>1.1999999999999993</v>
      </c>
      <c r="K9" s="37">
        <f>'BMI M norm'!J10-'BMI M - lijnstukken'!J9*'BMI M - lijnstukken'!$A9</f>
        <v>12.000000000000007</v>
      </c>
    </row>
    <row r="10" spans="1:11" x14ac:dyDescent="0.25">
      <c r="A10" s="74">
        <v>10</v>
      </c>
      <c r="B10" s="78">
        <f>'BMI M norm'!B12-'BMI M norm'!B11</f>
        <v>0.20000000000000107</v>
      </c>
      <c r="C10" s="79">
        <f>'BMI M norm'!B11-'BMI M - lijnstukken'!B10*'BMI M - lijnstukken'!$A10</f>
        <v>10.699999999999989</v>
      </c>
      <c r="D10" s="78">
        <f>'BMI M norm'!D12-'BMI M norm'!D11</f>
        <v>0.30000000000000071</v>
      </c>
      <c r="E10" s="79">
        <f>'BMI M norm'!D11-'BMI M - lijnstukken'!D10*'BMI M - lijnstukken'!$A10</f>
        <v>10.449999999999992</v>
      </c>
      <c r="F10" s="78">
        <f>'BMI M norm'!F12-'BMI M norm'!F11</f>
        <v>0.52499999999999858</v>
      </c>
      <c r="G10" s="79">
        <f>'BMI M norm'!F11-'BMI M - lijnstukken'!F10*'BMI M - lijnstukken'!$A10</f>
        <v>11.375000000000014</v>
      </c>
      <c r="H10" s="78">
        <f>'BMI M norm'!H12-'BMI M norm'!H11</f>
        <v>0.75</v>
      </c>
      <c r="I10" s="79">
        <f>'BMI M norm'!H11-'BMI M - lijnstukken'!H10*'BMI M - lijnstukken'!$A10</f>
        <v>12.3</v>
      </c>
      <c r="J10" s="78">
        <f>'BMI M norm'!J12-'BMI M norm'!J11</f>
        <v>1.1000000000000014</v>
      </c>
      <c r="K10" s="37">
        <f>'BMI M norm'!J11-'BMI M - lijnstukken'!J10*'BMI M - lijnstukken'!$A10</f>
        <v>12.999999999999986</v>
      </c>
    </row>
    <row r="11" spans="1:11" x14ac:dyDescent="0.25">
      <c r="A11" s="74">
        <v>11</v>
      </c>
      <c r="B11" s="78">
        <f>'BMI M norm'!B13-'BMI M norm'!B12</f>
        <v>0.29999999999999893</v>
      </c>
      <c r="C11" s="79">
        <f>'BMI M norm'!B12-'BMI M - lijnstukken'!B11*'BMI M - lijnstukken'!$A11</f>
        <v>9.6000000000000121</v>
      </c>
      <c r="D11" s="78">
        <f>'BMI M norm'!D13-'BMI M norm'!D12</f>
        <v>0.30000000000000071</v>
      </c>
      <c r="E11" s="79">
        <f>'BMI M norm'!D12-'BMI M - lijnstukken'!D11*'BMI M - lijnstukken'!$A11</f>
        <v>10.449999999999992</v>
      </c>
      <c r="F11" s="78">
        <f>'BMI M norm'!F13-'BMI M norm'!F12</f>
        <v>0.47500000000000142</v>
      </c>
      <c r="G11" s="79">
        <f>'BMI M norm'!F12-'BMI M - lijnstukken'!F11*'BMI M - lijnstukken'!$A11</f>
        <v>11.924999999999983</v>
      </c>
      <c r="H11" s="78">
        <f>'BMI M norm'!H13-'BMI M norm'!H12</f>
        <v>0.64999999999999858</v>
      </c>
      <c r="I11" s="79">
        <f>'BMI M norm'!H12-'BMI M - lijnstukken'!H11*'BMI M - lijnstukken'!$A11</f>
        <v>13.400000000000016</v>
      </c>
      <c r="J11" s="78">
        <f>'BMI M norm'!J13-'BMI M norm'!J12</f>
        <v>0.89999999999999858</v>
      </c>
      <c r="K11" s="37">
        <f>'BMI M norm'!J12-'BMI M - lijnstukken'!J11*'BMI M - lijnstukken'!$A11</f>
        <v>15.200000000000017</v>
      </c>
    </row>
    <row r="12" spans="1:11" x14ac:dyDescent="0.25">
      <c r="A12" s="74">
        <v>12</v>
      </c>
      <c r="B12" s="78">
        <f>'BMI M norm'!B14-'BMI M norm'!B13</f>
        <v>0.40000000000000036</v>
      </c>
      <c r="C12" s="79">
        <f>'BMI M norm'!B13-'BMI M - lijnstukken'!B12*'BMI M - lijnstukken'!$A12</f>
        <v>8.399999999999995</v>
      </c>
      <c r="D12" s="78">
        <f>'BMI M norm'!D14-'BMI M norm'!D13</f>
        <v>0.44999999999999929</v>
      </c>
      <c r="E12" s="79">
        <f>'BMI M norm'!D13-'BMI M - lijnstukken'!D12*'BMI M - lijnstukken'!$A12</f>
        <v>8.6500000000000092</v>
      </c>
      <c r="F12" s="78">
        <f>'BMI M norm'!F14-'BMI M norm'!F13</f>
        <v>0.57499999999999929</v>
      </c>
      <c r="G12" s="79">
        <f>'BMI M norm'!F13-'BMI M - lijnstukken'!F12*'BMI M - lijnstukken'!$A12</f>
        <v>10.725000000000009</v>
      </c>
      <c r="H12" s="78">
        <f>'BMI M norm'!H14-'BMI M norm'!H13</f>
        <v>0.69999999999999929</v>
      </c>
      <c r="I12" s="79">
        <f>'BMI M norm'!H13-'BMI M - lijnstukken'!H12*'BMI M - lijnstukken'!$A12</f>
        <v>12.800000000000008</v>
      </c>
      <c r="J12" s="78">
        <f>'BMI M norm'!J14-'BMI M norm'!J13</f>
        <v>0.80000000000000071</v>
      </c>
      <c r="K12" s="37">
        <f>'BMI M norm'!J13-'BMI M - lijnstukken'!J12*'BMI M - lijnstukken'!$A12</f>
        <v>16.399999999999991</v>
      </c>
    </row>
    <row r="13" spans="1:11" x14ac:dyDescent="0.25">
      <c r="A13" s="74">
        <v>13</v>
      </c>
      <c r="B13" s="78">
        <f>'BMI M norm'!B15-'BMI M norm'!B14</f>
        <v>0.5</v>
      </c>
      <c r="C13" s="79">
        <f>'BMI M norm'!B14-'BMI M - lijnstukken'!B13*'BMI M - lijnstukken'!$A13</f>
        <v>7.1</v>
      </c>
      <c r="D13" s="78">
        <f>'BMI M norm'!D15-'BMI M norm'!D14</f>
        <v>0.5</v>
      </c>
      <c r="E13" s="79">
        <f>'BMI M norm'!D14-'BMI M - lijnstukken'!D13*'BMI M - lijnstukken'!$A13</f>
        <v>8</v>
      </c>
      <c r="F13" s="78">
        <f>'BMI M norm'!F15-'BMI M norm'!F14</f>
        <v>0.60000000000000142</v>
      </c>
      <c r="G13" s="79">
        <f>'BMI M norm'!F14-'BMI M - lijnstukken'!F13*'BMI M - lijnstukken'!$A13</f>
        <v>10.399999999999981</v>
      </c>
      <c r="H13" s="78">
        <f>'BMI M norm'!H15-'BMI M norm'!H14</f>
        <v>0.70000000000000284</v>
      </c>
      <c r="I13" s="79">
        <f>'BMI M norm'!H14-'BMI M - lijnstukken'!H13*'BMI M - lijnstukken'!$A13</f>
        <v>12.799999999999962</v>
      </c>
      <c r="J13" s="78">
        <f>'BMI M norm'!J15-'BMI M norm'!J14</f>
        <v>0.80000000000000071</v>
      </c>
      <c r="K13" s="37">
        <f>'BMI M norm'!J14-'BMI M - lijnstukken'!J13*'BMI M - lijnstukken'!$A13</f>
        <v>16.399999999999991</v>
      </c>
    </row>
    <row r="14" spans="1:11" x14ac:dyDescent="0.25">
      <c r="A14" s="74">
        <v>14</v>
      </c>
      <c r="B14" s="78">
        <f>'BMI M norm'!B16-'BMI M norm'!B15</f>
        <v>0.5</v>
      </c>
      <c r="C14" s="79">
        <f>'BMI M norm'!B15-'BMI M - lijnstukken'!B14*'BMI M - lijnstukken'!$A14</f>
        <v>7.1</v>
      </c>
      <c r="D14" s="78">
        <f>'BMI M norm'!D16-'BMI M norm'!D15</f>
        <v>0.55000000000000071</v>
      </c>
      <c r="E14" s="79">
        <f>'BMI M norm'!D15-'BMI M - lijnstukken'!D14*'BMI M - lijnstukken'!$A14</f>
        <v>7.2999999999999901</v>
      </c>
      <c r="F14" s="78">
        <f>'BMI M norm'!F16-'BMI M norm'!F15</f>
        <v>0.625</v>
      </c>
      <c r="G14" s="79">
        <f>'BMI M norm'!F15-'BMI M - lijnstukken'!F14*'BMI M - lijnstukken'!$A14</f>
        <v>10.050000000000001</v>
      </c>
      <c r="H14" s="78">
        <f>'BMI M norm'!H16-'BMI M norm'!H15</f>
        <v>0.69999999999999929</v>
      </c>
      <c r="I14" s="79">
        <f>'BMI M norm'!H15-'BMI M - lijnstukken'!H14*'BMI M - lijnstukken'!$A14</f>
        <v>12.800000000000011</v>
      </c>
      <c r="J14" s="78">
        <f>'BMI M norm'!J16-'BMI M norm'!J15</f>
        <v>0.69999999999999929</v>
      </c>
      <c r="K14" s="37">
        <f>'BMI M norm'!J15-'BMI M - lijnstukken'!J14*'BMI M - lijnstukken'!$A14</f>
        <v>17.800000000000011</v>
      </c>
    </row>
    <row r="15" spans="1:11" x14ac:dyDescent="0.25">
      <c r="A15" s="74">
        <v>15</v>
      </c>
      <c r="B15" s="78">
        <f>'BMI M norm'!B17-'BMI M norm'!B16</f>
        <v>0.5</v>
      </c>
      <c r="C15" s="79">
        <f>'BMI M norm'!B16-'BMI M - lijnstukken'!B15*'BMI M - lijnstukken'!$A15</f>
        <v>7.1</v>
      </c>
      <c r="D15" s="78">
        <f>'BMI M norm'!D17-'BMI M norm'!D16</f>
        <v>0.55000000000000071</v>
      </c>
      <c r="E15" s="79">
        <f>'BMI M norm'!D16-'BMI M - lijnstukken'!D15*'BMI M - lijnstukken'!$A15</f>
        <v>7.2999999999999901</v>
      </c>
      <c r="F15" s="78">
        <f>'BMI M norm'!F17-'BMI M norm'!F16</f>
        <v>0.625</v>
      </c>
      <c r="G15" s="79">
        <f>'BMI M norm'!F16-'BMI M - lijnstukken'!F15*'BMI M - lijnstukken'!$A15</f>
        <v>10.050000000000001</v>
      </c>
      <c r="H15" s="78">
        <f>'BMI M norm'!H17-'BMI M norm'!H16</f>
        <v>0.69999999999999929</v>
      </c>
      <c r="I15" s="79">
        <f>'BMI M norm'!H16-'BMI M - lijnstukken'!H15*'BMI M - lijnstukken'!$A15</f>
        <v>12.800000000000011</v>
      </c>
      <c r="J15" s="78">
        <f>'BMI M norm'!J17-'BMI M norm'!J16</f>
        <v>0.5</v>
      </c>
      <c r="K15" s="37">
        <f>'BMI M norm'!J16-'BMI M - lijnstukken'!J15*'BMI M - lijnstukken'!$A15</f>
        <v>20.8</v>
      </c>
    </row>
    <row r="16" spans="1:11" x14ac:dyDescent="0.25">
      <c r="A16" s="74">
        <v>16</v>
      </c>
      <c r="B16" s="78">
        <f>'BMI M norm'!B18-'BMI M norm'!B17</f>
        <v>0.5</v>
      </c>
      <c r="C16" s="79">
        <f>'BMI M norm'!B17-'BMI M - lijnstukken'!B16*'BMI M - lijnstukken'!$A16</f>
        <v>7.1</v>
      </c>
      <c r="D16" s="78">
        <f>'BMI M norm'!D18-'BMI M norm'!D17</f>
        <v>0.5</v>
      </c>
      <c r="E16" s="79">
        <f>'BMI M norm'!D17-'BMI M - lijnstukken'!D16*'BMI M - lijnstukken'!$A16</f>
        <v>8.1000000000000014</v>
      </c>
      <c r="F16" s="78">
        <f>'BMI M norm'!F18-'BMI M norm'!F17</f>
        <v>0.5</v>
      </c>
      <c r="G16" s="79">
        <f>'BMI M norm'!F17-'BMI M - lijnstukken'!F16*'BMI M - lijnstukken'!$A16</f>
        <v>12.05</v>
      </c>
      <c r="H16" s="78">
        <f>'BMI M norm'!H18-'BMI M norm'!H17</f>
        <v>0.5</v>
      </c>
      <c r="I16" s="79">
        <f>'BMI M norm'!H17-'BMI M - lijnstukken'!H16*'BMI M - lijnstukken'!$A16</f>
        <v>16</v>
      </c>
      <c r="J16" s="78">
        <f>'BMI M norm'!J18-'BMI M norm'!J17</f>
        <v>0.59999999999999787</v>
      </c>
      <c r="K16" s="37">
        <f>'BMI M norm'!J17-'BMI M - lijnstukken'!J16*'BMI M - lijnstukken'!$A16</f>
        <v>19.200000000000035</v>
      </c>
    </row>
    <row r="17" spans="1:11" x14ac:dyDescent="0.25">
      <c r="A17" s="74">
        <v>17</v>
      </c>
      <c r="B17" s="78">
        <f>'BMI M norm'!B19-'BMI M norm'!B18</f>
        <v>0.40000000000000036</v>
      </c>
      <c r="C17" s="79">
        <f>'BMI M norm'!B18-'BMI M - lijnstukken'!B17*'BMI M - lijnstukken'!$A17</f>
        <v>8.7999999999999936</v>
      </c>
      <c r="D17" s="78">
        <f>'BMI M norm'!D19-'BMI M norm'!D18</f>
        <v>0.39999999999999858</v>
      </c>
      <c r="E17" s="79">
        <f>'BMI M norm'!D18-'BMI M - lijnstukken'!D17*'BMI M - lijnstukken'!$A17</f>
        <v>9.8000000000000256</v>
      </c>
      <c r="F17" s="78">
        <f>'BMI M norm'!F19-'BMI M norm'!F18</f>
        <v>0.44999999999999929</v>
      </c>
      <c r="G17" s="79">
        <f>'BMI M norm'!F18-'BMI M - lijnstukken'!F17*'BMI M - lijnstukken'!$A17</f>
        <v>12.900000000000013</v>
      </c>
      <c r="H17" s="78">
        <f>'BMI M norm'!H19-'BMI M norm'!H18</f>
        <v>0.5</v>
      </c>
      <c r="I17" s="79">
        <f>'BMI M norm'!H18-'BMI M - lijnstukken'!H17*'BMI M - lijnstukken'!$A17</f>
        <v>16</v>
      </c>
      <c r="J17" s="78">
        <f>'BMI M norm'!J19-'BMI M norm'!J18</f>
        <v>0.60000000000000142</v>
      </c>
      <c r="K17" s="37">
        <f>'BMI M norm'!J18-'BMI M - lijnstukken'!J17*'BMI M - lijnstukken'!$A17</f>
        <v>19.199999999999974</v>
      </c>
    </row>
    <row r="18" spans="1:11" x14ac:dyDescent="0.25">
      <c r="A18" s="74">
        <v>18</v>
      </c>
      <c r="B18" s="78">
        <f>'BMI M norm'!B20-'BMI M norm'!B19</f>
        <v>0</v>
      </c>
      <c r="C18" s="79">
        <f>'BMI M norm'!B19-'BMI M - lijnstukken'!B18*'BMI M - lijnstukken'!$A18</f>
        <v>16</v>
      </c>
      <c r="D18" s="78">
        <f>'BMI M norm'!D20-'BMI M norm'!D19</f>
        <v>0</v>
      </c>
      <c r="E18" s="79">
        <f>'BMI M norm'!D19-'BMI M - lijnstukken'!D18*'BMI M - lijnstukken'!$A18</f>
        <v>17</v>
      </c>
      <c r="F18" s="78">
        <f>'BMI M norm'!F20-'BMI M norm'!F19</f>
        <v>0</v>
      </c>
      <c r="G18" s="79">
        <f>'BMI M norm'!F19-'BMI M - lijnstukken'!F18*'BMI M - lijnstukken'!$A18</f>
        <v>21</v>
      </c>
      <c r="H18" s="78">
        <f>'BMI M norm'!H20-'BMI M norm'!H19</f>
        <v>0</v>
      </c>
      <c r="I18" s="79">
        <f>'BMI M norm'!H19-'BMI M - lijnstukken'!H18*'BMI M - lijnstukken'!$A18</f>
        <v>25</v>
      </c>
      <c r="J18" s="78">
        <f>'BMI M norm'!J20-'BMI M norm'!J19</f>
        <v>0</v>
      </c>
      <c r="K18" s="37">
        <f>'BMI M norm'!J19-'BMI M - lijnstukken'!J18*'BMI M - lijnstukken'!$A18</f>
        <v>30</v>
      </c>
    </row>
    <row r="19" spans="1:11" ht="15.75" thickBot="1" x14ac:dyDescent="0.3">
      <c r="A19" s="80">
        <v>19</v>
      </c>
      <c r="B19" s="81">
        <f>'BMI M norm'!B21-'BMI M norm'!B20</f>
        <v>0</v>
      </c>
      <c r="C19" s="82">
        <f>'BMI M norm'!B20-'BMI M - lijnstukken'!B19*'BMI M - lijnstukken'!$A19</f>
        <v>16</v>
      </c>
      <c r="D19" s="81">
        <f>'BMI M norm'!D21-'BMI M norm'!D20</f>
        <v>0</v>
      </c>
      <c r="E19" s="82">
        <f>'BMI M norm'!D20-'BMI M - lijnstukken'!D19*'BMI M - lijnstukken'!$A19</f>
        <v>17</v>
      </c>
      <c r="F19" s="81">
        <f>'BMI M norm'!F21-'BMI M norm'!F20</f>
        <v>0</v>
      </c>
      <c r="G19" s="82">
        <f>'BMI M norm'!F20-'BMI M - lijnstukken'!F19*'BMI M - lijnstukken'!$A19</f>
        <v>21</v>
      </c>
      <c r="H19" s="81">
        <f>'BMI M norm'!H21-'BMI M norm'!H20</f>
        <v>0</v>
      </c>
      <c r="I19" s="82">
        <f>'BMI M norm'!H20-'BMI M - lijnstukken'!H19*'BMI M - lijnstukken'!$A19</f>
        <v>25</v>
      </c>
      <c r="J19" s="81">
        <f>'BMI M norm'!J21-'BMI M norm'!J20</f>
        <v>0</v>
      </c>
      <c r="K19" s="83">
        <f>'BMI M norm'!J20-'BMI M - lijnstukken'!J19*'BMI M - lijnstukken'!$A19</f>
        <v>30</v>
      </c>
    </row>
  </sheetData>
  <sheetProtection sheet="1" objects="1" scenarios="1"/>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sheetPr>
  <dimension ref="A1:M21"/>
  <sheetViews>
    <sheetView zoomScale="110" zoomScaleNormal="110" workbookViewId="0">
      <selection activeCell="K47" sqref="K47:K48"/>
    </sheetView>
  </sheetViews>
  <sheetFormatPr defaultRowHeight="15" x14ac:dyDescent="0.25"/>
  <cols>
    <col min="1" max="1" width="4.7109375" customWidth="1"/>
    <col min="2" max="2" width="8.7109375" customWidth="1"/>
    <col min="3" max="3" width="4.7109375" customWidth="1"/>
    <col min="4" max="4" width="8.7109375" customWidth="1"/>
    <col min="5" max="5" width="4.7109375" customWidth="1"/>
    <col min="6" max="6" width="8.7109375" customWidth="1"/>
    <col min="7" max="7" width="4.7109375" customWidth="1"/>
    <col min="8" max="8" width="8.7109375" customWidth="1"/>
    <col min="9" max="9" width="4.7109375" customWidth="1"/>
    <col min="10" max="10" width="8.7109375" customWidth="1"/>
    <col min="12" max="12" width="9.140625" customWidth="1"/>
    <col min="13" max="13" width="4.7109375" customWidth="1"/>
  </cols>
  <sheetData>
    <row r="1" spans="1:13" x14ac:dyDescent="0.25">
      <c r="A1" s="200" t="s">
        <v>51</v>
      </c>
      <c r="B1" s="201"/>
      <c r="C1" s="201"/>
      <c r="D1" s="201"/>
      <c r="E1" s="201"/>
      <c r="F1" s="201"/>
      <c r="G1" s="201"/>
      <c r="H1" s="201"/>
      <c r="I1" s="201"/>
      <c r="J1" s="202"/>
    </row>
    <row r="2" spans="1:13" x14ac:dyDescent="0.25">
      <c r="A2" s="60"/>
      <c r="B2" s="61">
        <v>-2</v>
      </c>
      <c r="C2" s="62"/>
      <c r="D2" s="61">
        <v>-1</v>
      </c>
      <c r="E2" s="62"/>
      <c r="F2" s="61">
        <v>0</v>
      </c>
      <c r="G2" s="62"/>
      <c r="H2" s="61">
        <v>1</v>
      </c>
      <c r="I2" s="62"/>
      <c r="J2" s="63">
        <v>2</v>
      </c>
      <c r="L2">
        <v>-2</v>
      </c>
      <c r="M2" t="s">
        <v>52</v>
      </c>
    </row>
    <row r="3" spans="1:13" x14ac:dyDescent="0.25">
      <c r="A3" s="84">
        <v>2</v>
      </c>
      <c r="B3" s="46">
        <v>13.4</v>
      </c>
      <c r="C3" s="2">
        <v>2</v>
      </c>
      <c r="D3" s="46">
        <v>14.1</v>
      </c>
      <c r="E3" s="2">
        <v>2</v>
      </c>
      <c r="F3" s="46">
        <v>16.25</v>
      </c>
      <c r="G3" s="2">
        <v>2</v>
      </c>
      <c r="H3" s="46">
        <v>18.399999999999999</v>
      </c>
      <c r="I3" s="2">
        <v>2</v>
      </c>
      <c r="J3" s="47">
        <v>20.100000000000001</v>
      </c>
      <c r="L3">
        <v>-1</v>
      </c>
      <c r="M3" t="s">
        <v>53</v>
      </c>
    </row>
    <row r="4" spans="1:13" x14ac:dyDescent="0.25">
      <c r="A4" s="34">
        <v>3</v>
      </c>
      <c r="B4" s="51">
        <v>13.1</v>
      </c>
      <c r="C4" s="65">
        <v>3</v>
      </c>
      <c r="D4" s="51">
        <v>13.8</v>
      </c>
      <c r="E4" s="65">
        <v>3</v>
      </c>
      <c r="F4" s="51">
        <v>15.85</v>
      </c>
      <c r="G4" s="65">
        <v>3</v>
      </c>
      <c r="H4" s="51">
        <v>17.899999999999999</v>
      </c>
      <c r="I4" s="65">
        <v>3</v>
      </c>
      <c r="J4" s="52">
        <v>19.600000000000001</v>
      </c>
      <c r="L4">
        <v>0</v>
      </c>
      <c r="M4" t="s">
        <v>54</v>
      </c>
    </row>
    <row r="5" spans="1:13" x14ac:dyDescent="0.25">
      <c r="A5" s="34">
        <v>4</v>
      </c>
      <c r="B5" s="51">
        <v>12.8</v>
      </c>
      <c r="C5" s="65">
        <v>4</v>
      </c>
      <c r="D5" s="51">
        <v>13.5</v>
      </c>
      <c r="E5" s="65">
        <v>4</v>
      </c>
      <c r="F5" s="51">
        <v>15.525</v>
      </c>
      <c r="G5" s="65">
        <v>4</v>
      </c>
      <c r="H5" s="51">
        <v>17.55</v>
      </c>
      <c r="I5" s="65">
        <v>4</v>
      </c>
      <c r="J5" s="52">
        <v>19.3</v>
      </c>
      <c r="L5">
        <v>1</v>
      </c>
      <c r="M5" t="s">
        <v>55</v>
      </c>
    </row>
    <row r="6" spans="1:13" x14ac:dyDescent="0.25">
      <c r="A6" s="34">
        <v>5</v>
      </c>
      <c r="B6" s="51">
        <v>12.6</v>
      </c>
      <c r="C6" s="65">
        <v>5</v>
      </c>
      <c r="D6" s="51">
        <v>13.3</v>
      </c>
      <c r="E6" s="65">
        <v>5</v>
      </c>
      <c r="F6" s="51">
        <v>15.35</v>
      </c>
      <c r="G6" s="65">
        <v>5</v>
      </c>
      <c r="H6" s="51">
        <v>17.399999999999999</v>
      </c>
      <c r="I6" s="65">
        <v>5</v>
      </c>
      <c r="J6" s="52">
        <v>19.3</v>
      </c>
      <c r="L6">
        <v>2</v>
      </c>
      <c r="M6" t="s">
        <v>56</v>
      </c>
    </row>
    <row r="7" spans="1:13" x14ac:dyDescent="0.25">
      <c r="A7" s="34">
        <v>6</v>
      </c>
      <c r="B7" s="51">
        <v>12.5</v>
      </c>
      <c r="C7" s="65">
        <v>6</v>
      </c>
      <c r="D7" s="51">
        <v>13.2</v>
      </c>
      <c r="E7" s="65">
        <v>6</v>
      </c>
      <c r="F7" s="51">
        <v>15.375</v>
      </c>
      <c r="G7" s="65">
        <v>6</v>
      </c>
      <c r="H7" s="51">
        <v>17.55</v>
      </c>
      <c r="I7" s="65">
        <v>6</v>
      </c>
      <c r="J7" s="52">
        <v>19.8</v>
      </c>
    </row>
    <row r="8" spans="1:13" x14ac:dyDescent="0.25">
      <c r="A8" s="34">
        <v>7</v>
      </c>
      <c r="B8" s="51">
        <v>12.4</v>
      </c>
      <c r="C8" s="65">
        <v>7</v>
      </c>
      <c r="D8" s="51">
        <v>13.1</v>
      </c>
      <c r="E8" s="65">
        <v>7</v>
      </c>
      <c r="F8" s="51">
        <v>15.5</v>
      </c>
      <c r="G8" s="65">
        <v>7</v>
      </c>
      <c r="H8" s="51">
        <v>17.899999999999999</v>
      </c>
      <c r="I8" s="65">
        <v>7</v>
      </c>
      <c r="J8" s="52">
        <v>20.7</v>
      </c>
    </row>
    <row r="9" spans="1:13" x14ac:dyDescent="0.25">
      <c r="A9" s="34">
        <v>8</v>
      </c>
      <c r="B9" s="51">
        <v>12.4</v>
      </c>
      <c r="C9" s="65">
        <v>8</v>
      </c>
      <c r="D9" s="51">
        <v>13.2</v>
      </c>
      <c r="E9" s="65">
        <v>8</v>
      </c>
      <c r="F9" s="51">
        <v>15.799999999999999</v>
      </c>
      <c r="G9" s="65">
        <v>8</v>
      </c>
      <c r="H9" s="51">
        <v>18.399999999999999</v>
      </c>
      <c r="I9" s="65">
        <v>8</v>
      </c>
      <c r="J9" s="52">
        <v>21.6</v>
      </c>
    </row>
    <row r="10" spans="1:13" x14ac:dyDescent="0.25">
      <c r="A10" s="34">
        <v>9</v>
      </c>
      <c r="B10" s="51">
        <v>12.5</v>
      </c>
      <c r="C10" s="65">
        <v>9</v>
      </c>
      <c r="D10" s="51">
        <v>13.25</v>
      </c>
      <c r="E10" s="65">
        <v>9</v>
      </c>
      <c r="F10" s="51">
        <v>16.175000000000001</v>
      </c>
      <c r="G10" s="65">
        <v>9</v>
      </c>
      <c r="H10" s="51">
        <v>19.100000000000001</v>
      </c>
      <c r="I10" s="65">
        <v>9</v>
      </c>
      <c r="J10" s="52">
        <v>22.8</v>
      </c>
    </row>
    <row r="11" spans="1:13" x14ac:dyDescent="0.25">
      <c r="A11" s="34">
        <v>10</v>
      </c>
      <c r="B11" s="51">
        <v>12.7</v>
      </c>
      <c r="C11" s="65">
        <v>10</v>
      </c>
      <c r="D11" s="51">
        <v>13.45</v>
      </c>
      <c r="E11" s="65">
        <v>10</v>
      </c>
      <c r="F11" s="51">
        <v>16.625</v>
      </c>
      <c r="G11" s="65">
        <v>10</v>
      </c>
      <c r="H11" s="51">
        <v>19.8</v>
      </c>
      <c r="I11" s="65">
        <v>10</v>
      </c>
      <c r="J11" s="52">
        <v>24</v>
      </c>
    </row>
    <row r="12" spans="1:13" x14ac:dyDescent="0.25">
      <c r="A12" s="34">
        <v>11</v>
      </c>
      <c r="B12" s="51">
        <v>12.9</v>
      </c>
      <c r="C12" s="65">
        <v>11</v>
      </c>
      <c r="D12" s="51">
        <v>13.75</v>
      </c>
      <c r="E12" s="65">
        <v>11</v>
      </c>
      <c r="F12" s="51">
        <v>17.149999999999999</v>
      </c>
      <c r="G12" s="65">
        <v>11</v>
      </c>
      <c r="H12" s="51">
        <v>20.55</v>
      </c>
      <c r="I12" s="65">
        <v>11</v>
      </c>
      <c r="J12" s="52">
        <v>25.1</v>
      </c>
    </row>
    <row r="13" spans="1:13" x14ac:dyDescent="0.25">
      <c r="A13" s="34">
        <v>12</v>
      </c>
      <c r="B13" s="51">
        <v>13.2</v>
      </c>
      <c r="C13" s="65">
        <v>12</v>
      </c>
      <c r="D13" s="51">
        <v>14.05</v>
      </c>
      <c r="E13" s="65">
        <v>12</v>
      </c>
      <c r="F13" s="51">
        <v>17.625</v>
      </c>
      <c r="G13" s="65">
        <v>12</v>
      </c>
      <c r="H13" s="51">
        <v>21.2</v>
      </c>
      <c r="I13" s="65">
        <v>12</v>
      </c>
      <c r="J13" s="52">
        <v>26</v>
      </c>
    </row>
    <row r="14" spans="1:13" x14ac:dyDescent="0.25">
      <c r="A14" s="34">
        <v>13</v>
      </c>
      <c r="B14" s="51">
        <v>13.6</v>
      </c>
      <c r="C14" s="65">
        <v>13</v>
      </c>
      <c r="D14" s="51">
        <v>14.5</v>
      </c>
      <c r="E14" s="65">
        <v>13</v>
      </c>
      <c r="F14" s="51">
        <v>18.2</v>
      </c>
      <c r="G14" s="65">
        <v>13</v>
      </c>
      <c r="H14" s="51">
        <v>21.9</v>
      </c>
      <c r="I14" s="65">
        <v>13</v>
      </c>
      <c r="J14" s="52">
        <v>26.8</v>
      </c>
    </row>
    <row r="15" spans="1:13" x14ac:dyDescent="0.25">
      <c r="A15" s="34">
        <v>14</v>
      </c>
      <c r="B15" s="51">
        <v>14.1</v>
      </c>
      <c r="C15" s="65">
        <v>14</v>
      </c>
      <c r="D15" s="51">
        <v>15</v>
      </c>
      <c r="E15" s="65">
        <v>14</v>
      </c>
      <c r="F15" s="51">
        <v>18.8</v>
      </c>
      <c r="G15" s="65">
        <v>14</v>
      </c>
      <c r="H15" s="51">
        <v>22.6</v>
      </c>
      <c r="I15" s="65">
        <v>14</v>
      </c>
      <c r="J15" s="52">
        <v>27.6</v>
      </c>
    </row>
    <row r="16" spans="1:13" x14ac:dyDescent="0.25">
      <c r="A16" s="34">
        <v>15</v>
      </c>
      <c r="B16" s="51">
        <v>14.6</v>
      </c>
      <c r="C16" s="65">
        <v>15</v>
      </c>
      <c r="D16" s="51">
        <v>15.55</v>
      </c>
      <c r="E16" s="65">
        <v>15</v>
      </c>
      <c r="F16" s="51">
        <v>19.425000000000001</v>
      </c>
      <c r="G16" s="65">
        <v>15</v>
      </c>
      <c r="H16" s="51">
        <v>23.3</v>
      </c>
      <c r="I16" s="65">
        <v>15</v>
      </c>
      <c r="J16" s="52">
        <v>28.3</v>
      </c>
    </row>
    <row r="17" spans="1:10" x14ac:dyDescent="0.25">
      <c r="A17" s="34">
        <v>16</v>
      </c>
      <c r="B17" s="51">
        <v>15.1</v>
      </c>
      <c r="C17" s="65">
        <v>16</v>
      </c>
      <c r="D17" s="51">
        <v>16.100000000000001</v>
      </c>
      <c r="E17" s="65">
        <v>16</v>
      </c>
      <c r="F17" s="51">
        <v>20.05</v>
      </c>
      <c r="G17" s="65">
        <v>16</v>
      </c>
      <c r="H17" s="51">
        <v>24</v>
      </c>
      <c r="I17" s="65">
        <v>16</v>
      </c>
      <c r="J17" s="52">
        <v>28.8</v>
      </c>
    </row>
    <row r="18" spans="1:10" x14ac:dyDescent="0.25">
      <c r="A18" s="34">
        <v>17</v>
      </c>
      <c r="B18" s="51">
        <v>15.6</v>
      </c>
      <c r="C18" s="65">
        <v>17</v>
      </c>
      <c r="D18" s="51">
        <v>16.600000000000001</v>
      </c>
      <c r="E18" s="65">
        <v>17</v>
      </c>
      <c r="F18" s="51">
        <v>20.55</v>
      </c>
      <c r="G18" s="65">
        <v>17</v>
      </c>
      <c r="H18" s="51">
        <v>24.5</v>
      </c>
      <c r="I18" s="65">
        <v>17</v>
      </c>
      <c r="J18" s="52">
        <v>29.4</v>
      </c>
    </row>
    <row r="19" spans="1:10" x14ac:dyDescent="0.25">
      <c r="A19" s="34">
        <v>18</v>
      </c>
      <c r="B19" s="51">
        <v>16</v>
      </c>
      <c r="C19" s="65">
        <v>18</v>
      </c>
      <c r="D19" s="51">
        <v>17</v>
      </c>
      <c r="E19" s="65">
        <v>18</v>
      </c>
      <c r="F19" s="51">
        <v>21</v>
      </c>
      <c r="G19" s="65">
        <v>18</v>
      </c>
      <c r="H19" s="51">
        <v>25</v>
      </c>
      <c r="I19" s="65">
        <v>18</v>
      </c>
      <c r="J19" s="52">
        <v>30</v>
      </c>
    </row>
    <row r="20" spans="1:10" x14ac:dyDescent="0.25">
      <c r="A20" s="34">
        <v>19</v>
      </c>
      <c r="B20" s="51">
        <v>16</v>
      </c>
      <c r="C20" s="65">
        <v>19</v>
      </c>
      <c r="D20" s="51">
        <v>17</v>
      </c>
      <c r="E20" s="65">
        <v>19</v>
      </c>
      <c r="F20" s="51">
        <v>21</v>
      </c>
      <c r="G20" s="65">
        <v>19</v>
      </c>
      <c r="H20" s="51">
        <v>25</v>
      </c>
      <c r="I20" s="65">
        <v>19</v>
      </c>
      <c r="J20" s="52">
        <v>30</v>
      </c>
    </row>
    <row r="21" spans="1:10" ht="15.75" thickBot="1" x14ac:dyDescent="0.3">
      <c r="A21" s="71">
        <v>20</v>
      </c>
      <c r="B21" s="57">
        <v>16</v>
      </c>
      <c r="C21" s="72">
        <v>20</v>
      </c>
      <c r="D21" s="57">
        <v>17</v>
      </c>
      <c r="E21" s="72">
        <v>20</v>
      </c>
      <c r="F21" s="57">
        <v>21</v>
      </c>
      <c r="G21" s="72">
        <v>20</v>
      </c>
      <c r="H21" s="57">
        <v>25</v>
      </c>
      <c r="I21" s="72">
        <v>20</v>
      </c>
      <c r="J21" s="58">
        <v>30</v>
      </c>
    </row>
  </sheetData>
  <sheetProtection sheet="1" objects="1" scenarios="1"/>
  <mergeCells count="1">
    <mergeCell ref="A1:J1"/>
  </mergeCells>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sheetPr>
  <dimension ref="A1"/>
  <sheetViews>
    <sheetView zoomScaleNormal="100" workbookViewId="0">
      <selection activeCell="K47" sqref="K47:K48"/>
    </sheetView>
  </sheetViews>
  <sheetFormatPr defaultRowHeight="15" x14ac:dyDescent="0.25"/>
  <sheetData/>
  <sheetProtection sheet="1" objects="1" scenarios="1"/>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03B77E40EADFA489A67CB534B287BE3" ma:contentTypeVersion="18" ma:contentTypeDescription="Create a new document." ma:contentTypeScope="" ma:versionID="b264796aa72e6291d9984defb0d6cb26">
  <xsd:schema xmlns:xsd="http://www.w3.org/2001/XMLSchema" xmlns:xs="http://www.w3.org/2001/XMLSchema" xmlns:p="http://schemas.microsoft.com/office/2006/metadata/properties" xmlns:ns2="e5c15a1d-1610-4422-81fe-e32f19433a27" xmlns:ns3="01124785-d962-4676-b60b-ce743d4b62b4" targetNamespace="http://schemas.microsoft.com/office/2006/metadata/properties" ma:root="true" ma:fieldsID="0e9266203940776f71c19d21add8b902" ns2:_="" ns3:_="">
    <xsd:import namespace="e5c15a1d-1610-4422-81fe-e32f19433a27"/>
    <xsd:import namespace="01124785-d962-4676-b60b-ce743d4b62b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c15a1d-1610-4422-81fe-e32f19433a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e795f72-2f78-440b-8cb5-512a0e0256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124785-d962-4676-b60b-ce743d4b62b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96db2bb-4214-436c-a923-12a773ad9f4c}" ma:internalName="TaxCatchAll" ma:showField="CatchAllData" ma:web="01124785-d962-4676-b60b-ce743d4b62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c15a1d-1610-4422-81fe-e32f19433a27">
      <Terms xmlns="http://schemas.microsoft.com/office/infopath/2007/PartnerControls"/>
    </lcf76f155ced4ddcb4097134ff3c332f>
    <TaxCatchAll xmlns="01124785-d962-4676-b60b-ce743d4b62b4" xsi:nil="true"/>
  </documentManagement>
</p:properties>
</file>

<file path=customXml/itemProps1.xml><?xml version="1.0" encoding="utf-8"?>
<ds:datastoreItem xmlns:ds="http://schemas.openxmlformats.org/officeDocument/2006/customXml" ds:itemID="{5EBFE0A8-2124-4D83-92B9-F5BD36DB5276}">
  <ds:schemaRefs>
    <ds:schemaRef ds:uri="http://schemas.microsoft.com/sharepoint/v3/contenttype/forms"/>
  </ds:schemaRefs>
</ds:datastoreItem>
</file>

<file path=customXml/itemProps2.xml><?xml version="1.0" encoding="utf-8"?>
<ds:datastoreItem xmlns:ds="http://schemas.openxmlformats.org/officeDocument/2006/customXml" ds:itemID="{D503662A-EF6F-4C13-823D-B5F69DF07F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c15a1d-1610-4422-81fe-e32f19433a27"/>
    <ds:schemaRef ds:uri="01124785-d962-4676-b60b-ce743d4b62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F88B72-F853-41CA-8987-EE9E8D3DCE76}">
  <ds:schemaRefs>
    <ds:schemaRef ds:uri="http://schemas.openxmlformats.org/package/2006/metadata/core-properties"/>
    <ds:schemaRef ds:uri="http://purl.org/dc/dcmitype/"/>
    <ds:schemaRef ds:uri="http://schemas.microsoft.com/office/2006/documentManagement/types"/>
    <ds:schemaRef ds:uri="29e75e9f-2bc6-4e43-90aa-f9d4b2cf059e"/>
    <ds:schemaRef ds:uri="584b97b3-b149-4d9e-aa39-fc3f9c7a3e61"/>
    <ds:schemaRef ds:uri="http://purl.org/dc/elements/1.1/"/>
    <ds:schemaRef ds:uri="http://purl.org/dc/terms/"/>
    <ds:schemaRef ds:uri="http://schemas.microsoft.com/office/infopath/2007/PartnerControls"/>
    <ds:schemaRef ds:uri="http://schemas.microsoft.com/office/2006/metadata/properties"/>
    <ds:schemaRef ds:uri="http://www.w3.org/XML/1998/namespace"/>
    <ds:schemaRef ds:uri="e5c15a1d-1610-4422-81fe-e32f19433a27"/>
    <ds:schemaRef ds:uri="01124785-d962-4676-b60b-ce743d4b62b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1</vt:i4>
      </vt:variant>
    </vt:vector>
  </HeadingPairs>
  <TitlesOfParts>
    <vt:vector size="14" baseType="lpstr">
      <vt:lpstr>Verklaring dispensatie</vt:lpstr>
      <vt:lpstr>DATA formulier</vt:lpstr>
      <vt:lpstr>Calculatie</vt:lpstr>
      <vt:lpstr>--- SCHALEN M ---</vt:lpstr>
      <vt:lpstr>Lengte M - lijnstukken</vt:lpstr>
      <vt:lpstr>Lengte M norm</vt:lpstr>
      <vt:lpstr>BMI M - lijnstukken</vt:lpstr>
      <vt:lpstr>BMI M norm</vt:lpstr>
      <vt:lpstr>--- SCHALEN V ---</vt:lpstr>
      <vt:lpstr>Lengte V - lijnstukken</vt:lpstr>
      <vt:lpstr>Lengte V norm</vt:lpstr>
      <vt:lpstr>BMI V - lijnstukken</vt:lpstr>
      <vt:lpstr>BMI V norm</vt:lpstr>
      <vt:lpstr>'Verklaring dispensatie'!Afdrukbereik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Verklaring dispensatie 2020-2021</dc:title>
  <dc:creator/>
  <cp:lastModifiedBy/>
  <dcterms:created xsi:type="dcterms:W3CDTF">2020-06-17T08:29:09Z</dcterms:created>
  <dcterms:modified xsi:type="dcterms:W3CDTF">2026-06-23T08:55:00Z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0x010100003B77E40EADFA489A67CB534B287BE3</vt:lpwstr>
  </property>
  <property fmtid="{D5CDD505-2E9C-101B-9397-08002B2CF9AE}" pid="3" name="MediaServiceImageTags">
    <vt:lpwstr/>
  </property>
</Properties>
</file>